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50" tabRatio="879"/>
  </bookViews>
  <sheets>
    <sheet name="SUMMARY" sheetId="24" r:id="rId1"/>
    <sheet name="FINANCIAL" sheetId="22" r:id="rId2"/>
    <sheet name="DEPRECIATION" sheetId="16" r:id="rId3"/>
  </sheets>
  <definedNames>
    <definedName name="__xlfn.IFERROR" hidden="1">#NAME?</definedName>
    <definedName name="FinancialResults_IRR">FINANCIAL!$I$11</definedName>
    <definedName name="FinancialResults_NPV">FINANCIAL!$I$6</definedName>
    <definedName name="FinancialResults_ROI_Discounted">FINANCIAL!$I$8</definedName>
    <definedName name="FinancialResults_ROI_NonDiscounted">FINANCIAL!$I$9</definedName>
    <definedName name="Input_Calc_Costs_Conv">SUMMARY!$N$5:$N$9</definedName>
    <definedName name="Input_Calc_Costs_PRD">SUMMARY!$S$5:$S$9</definedName>
    <definedName name="Input_Calc_LostTimeInjuries">SUMMARY!$C$16</definedName>
    <definedName name="Input_Calc_Savings_Capital">SUMMARY!$H$9</definedName>
    <definedName name="Input_Calc_Savings_Injury">SUMMARY!$H$6:$H$7</definedName>
    <definedName name="Input_Calc_Savings_Labor">SUMMARY!$H$5</definedName>
    <definedName name="Input_Calc_Savings_Project">SUMMARY!$H$8</definedName>
    <definedName name="Input_Calc_StubYear">SUMMARY!$C$27</definedName>
    <definedName name="Input_CalcYearZero">FINANCIAL!$D$18</definedName>
    <definedName name="Input_Conv_Cost">SUMMARY!$C$10</definedName>
    <definedName name="Input_Costs_Injury_AtRiskFactor">SUMMARY!$C$12</definedName>
    <definedName name="Input_Costs_Injury_Direct">SUMMARY!$C$14</definedName>
    <definedName name="Input_Costs_Injury_Indirect">SUMMARY!$C$15</definedName>
    <definedName name="Input_FY_EndDate">SUMMARY!$C$20</definedName>
    <definedName name="Input_PalletsNeedAdjPCT">SUMMARY!$C$8</definedName>
    <definedName name="Input_PalletsPerStack">SUMMARY!$C$7</definedName>
    <definedName name="Input_PalletsPerYear">SUMMARY!$C$3</definedName>
    <definedName name="Input_PayRate_BenefitLoad">SUMMARY!$C$6</definedName>
    <definedName name="Input_PayRate_Operator">SUMMARY!$C$5</definedName>
    <definedName name="Input_PayRate_Selector">SUMMARY!$C$4</definedName>
    <definedName name="Input_PRD_Cost">SUMMARY!$C$11</definedName>
    <definedName name="Input_PRD_Qty">SUMMARY!$C$9</definedName>
    <definedName name="Input_ProjectStart">SUMMARY!$C$21</definedName>
    <definedName name="Input_TaxRate">SUMMARY!$C$26</definedName>
    <definedName name="Input_Units">SUMMARY!$C$24</definedName>
    <definedName name="Input_UsefulLife">SUMMARY!$C$22</definedName>
    <definedName name="Input_WACC">SUMMARY!$C$25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39720.6372453704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</definedNames>
  <calcPr calcId="145621"/>
</workbook>
</file>

<file path=xl/calcChain.xml><?xml version="1.0" encoding="utf-8"?>
<calcChain xmlns="http://schemas.openxmlformats.org/spreadsheetml/2006/main">
  <c r="E20" i="24" l="1"/>
  <c r="K5" i="24"/>
  <c r="L5" i="24" s="1"/>
  <c r="Q5" i="24"/>
  <c r="R5" i="24" s="1"/>
  <c r="L6" i="24"/>
  <c r="N6" i="24" s="1"/>
  <c r="Q6" i="24"/>
  <c r="R6" i="24" s="1"/>
  <c r="F8" i="24"/>
  <c r="G8" i="24"/>
  <c r="L7" i="24"/>
  <c r="N7" i="24" s="1"/>
  <c r="Q7" i="24"/>
  <c r="R7" i="24" s="1"/>
  <c r="F9" i="24"/>
  <c r="G9" i="24"/>
  <c r="L8" i="24"/>
  <c r="M8" i="24" s="1"/>
  <c r="Q8" i="24"/>
  <c r="S8" i="24" s="1"/>
  <c r="L9" i="24"/>
  <c r="M9" i="24" s="1"/>
  <c r="Q9" i="24"/>
  <c r="R9" i="24" s="1"/>
  <c r="E4" i="22"/>
  <c r="C10" i="22"/>
  <c r="C9" i="22"/>
  <c r="C8" i="22"/>
  <c r="C7" i="22"/>
  <c r="C6" i="22"/>
  <c r="C5" i="22"/>
  <c r="C4" i="22"/>
  <c r="C27" i="24"/>
  <c r="C11" i="22" s="1"/>
  <c r="C15" i="24"/>
  <c r="C16" i="24"/>
  <c r="S7" i="24" l="1"/>
  <c r="R8" i="24"/>
  <c r="M7" i="24"/>
  <c r="N9" i="24"/>
  <c r="H9" i="24"/>
  <c r="F7" i="24"/>
  <c r="H7" i="24" s="1"/>
  <c r="H8" i="24"/>
  <c r="N5" i="24"/>
  <c r="M5" i="24"/>
  <c r="S9" i="24"/>
  <c r="S6" i="24"/>
  <c r="M6" i="24"/>
  <c r="S5" i="24"/>
  <c r="F6" i="24"/>
  <c r="H6" i="24" s="1"/>
  <c r="N8" i="24"/>
  <c r="G5" i="24" l="1"/>
  <c r="S10" i="24"/>
  <c r="F5" i="24"/>
  <c r="N10" i="24"/>
  <c r="H5" i="24" l="1"/>
  <c r="B107" i="22" l="1"/>
  <c r="B72" i="22"/>
  <c r="B63" i="22"/>
  <c r="B44" i="22"/>
  <c r="B36" i="22"/>
  <c r="B16" i="22"/>
  <c r="D40" i="22"/>
  <c r="G28" i="22" l="1"/>
  <c r="K28" i="22"/>
  <c r="H28" i="22"/>
  <c r="L28" i="22"/>
  <c r="E28" i="22"/>
  <c r="I28" i="22"/>
  <c r="M28" i="22"/>
  <c r="F28" i="22"/>
  <c r="J28" i="22"/>
  <c r="N28" i="22"/>
  <c r="D91" i="22" l="1"/>
  <c r="E91" i="22"/>
  <c r="F91" i="22"/>
  <c r="G91" i="22"/>
  <c r="H91" i="22"/>
  <c r="I91" i="22"/>
  <c r="J91" i="22"/>
  <c r="K91" i="22"/>
  <c r="L91" i="22"/>
  <c r="M91" i="22"/>
  <c r="N91" i="22"/>
  <c r="H24" i="22" l="1"/>
  <c r="H25" i="22" s="1"/>
  <c r="N85" i="22"/>
  <c r="M85" i="22"/>
  <c r="L85" i="22"/>
  <c r="K85" i="22"/>
  <c r="J85" i="22"/>
  <c r="I85" i="22"/>
  <c r="H85" i="22"/>
  <c r="G85" i="22"/>
  <c r="F85" i="22"/>
  <c r="E85" i="22"/>
  <c r="D85" i="22"/>
  <c r="E17" i="22"/>
  <c r="E37" i="22" s="1"/>
  <c r="F17" i="22"/>
  <c r="H17" i="22"/>
  <c r="H37" i="22" s="1"/>
  <c r="I17" i="22"/>
  <c r="I37" i="22" s="1"/>
  <c r="J17" i="22"/>
  <c r="K17" i="22"/>
  <c r="L17" i="22"/>
  <c r="M17" i="22"/>
  <c r="M37" i="22" s="1"/>
  <c r="N17" i="22"/>
  <c r="N37" i="22" s="1"/>
  <c r="D18" i="22"/>
  <c r="E18" i="22" s="1"/>
  <c r="D21" i="22"/>
  <c r="E21" i="22"/>
  <c r="F21" i="22"/>
  <c r="G21" i="22"/>
  <c r="H21" i="22"/>
  <c r="I21" i="22"/>
  <c r="J21" i="22"/>
  <c r="K21" i="22"/>
  <c r="L21" i="22"/>
  <c r="M21" i="22"/>
  <c r="N21" i="22"/>
  <c r="E29" i="22"/>
  <c r="F29" i="22"/>
  <c r="G29" i="22"/>
  <c r="H29" i="22"/>
  <c r="I29" i="22"/>
  <c r="J29" i="22"/>
  <c r="K29" i="22"/>
  <c r="L29" i="22"/>
  <c r="M29" i="22"/>
  <c r="N29" i="22"/>
  <c r="E33" i="22"/>
  <c r="F33" i="22"/>
  <c r="G33" i="22"/>
  <c r="H33" i="22"/>
  <c r="I33" i="22"/>
  <c r="J33" i="22"/>
  <c r="K33" i="22"/>
  <c r="L33" i="22"/>
  <c r="M33" i="22"/>
  <c r="N33" i="22"/>
  <c r="D37" i="22"/>
  <c r="F37" i="22"/>
  <c r="G37" i="22"/>
  <c r="J37" i="22"/>
  <c r="K37" i="22"/>
  <c r="L37" i="22"/>
  <c r="D5" i="16"/>
  <c r="E5" i="16" s="1"/>
  <c r="F5" i="16" s="1"/>
  <c r="G5" i="16" s="1"/>
  <c r="H5" i="16" s="1"/>
  <c r="I5" i="16" s="1"/>
  <c r="J5" i="16" s="1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J24" i="22" l="1"/>
  <c r="J25" i="22" s="1"/>
  <c r="G24" i="22"/>
  <c r="G25" i="22" s="1"/>
  <c r="L24" i="22"/>
  <c r="L25" i="22" s="1"/>
  <c r="M24" i="22"/>
  <c r="M25" i="22" s="1"/>
  <c r="E24" i="22"/>
  <c r="E25" i="22" s="1"/>
  <c r="F24" i="22"/>
  <c r="F25" i="22" s="1"/>
  <c r="K24" i="22"/>
  <c r="K25" i="22" s="1"/>
  <c r="N24" i="22"/>
  <c r="N25" i="22" s="1"/>
  <c r="I24" i="22"/>
  <c r="I25" i="22" s="1"/>
  <c r="D32" i="22"/>
  <c r="D33" i="22" s="1"/>
  <c r="D24" i="22"/>
  <c r="D25" i="22" s="1"/>
  <c r="D28" i="22"/>
  <c r="D29" i="22" s="1"/>
  <c r="C7" i="16"/>
  <c r="F18" i="22"/>
  <c r="G18" i="22" s="1"/>
  <c r="H18" i="22" s="1"/>
  <c r="I18" i="22" s="1"/>
  <c r="J18" i="22" s="1"/>
  <c r="K18" i="22" s="1"/>
  <c r="L18" i="22" s="1"/>
  <c r="M18" i="22" s="1"/>
  <c r="N18" i="22" s="1"/>
  <c r="E38" i="22"/>
  <c r="D38" i="22" l="1"/>
  <c r="F38" i="22"/>
  <c r="G38" i="22" s="1"/>
  <c r="H38" i="22" s="1"/>
  <c r="I38" i="22" s="1"/>
  <c r="J38" i="22" s="1"/>
  <c r="K38" i="22" s="1"/>
  <c r="L38" i="22" s="1"/>
  <c r="M38" i="22" s="1"/>
  <c r="N38" i="22" s="1"/>
  <c r="C6" i="16" l="1"/>
  <c r="D6" i="16" s="1"/>
  <c r="E6" i="16" s="1"/>
  <c r="F6" i="16" s="1"/>
  <c r="G6" i="16" s="1"/>
  <c r="H6" i="16" s="1"/>
  <c r="I6" i="16" s="1"/>
  <c r="J6" i="16" s="1"/>
  <c r="K6" i="16" s="1"/>
  <c r="L6" i="16" s="1"/>
  <c r="M6" i="16" s="1"/>
  <c r="N6" i="16" s="1"/>
  <c r="O6" i="16" s="1"/>
  <c r="P6" i="16" s="1"/>
  <c r="Q6" i="16" s="1"/>
  <c r="R6" i="16" s="1"/>
  <c r="S6" i="16" s="1"/>
  <c r="T6" i="16" s="1"/>
  <c r="U6" i="16" s="1"/>
  <c r="V6" i="16" s="1"/>
  <c r="W6" i="16" s="1"/>
  <c r="F10" i="16" l="1"/>
  <c r="X9" i="16"/>
  <c r="F9" i="16"/>
  <c r="X8" i="16"/>
  <c r="F8" i="16"/>
  <c r="D58" i="22"/>
  <c r="D113" i="22" s="1"/>
  <c r="D46" i="22"/>
  <c r="D45" i="22"/>
  <c r="N58" i="22"/>
  <c r="M58" i="22"/>
  <c r="L58" i="22"/>
  <c r="K58" i="22"/>
  <c r="J58" i="22"/>
  <c r="I58" i="22"/>
  <c r="H58" i="22"/>
  <c r="G58" i="22"/>
  <c r="F58" i="22"/>
  <c r="E58" i="22"/>
  <c r="N48" i="22"/>
  <c r="M48" i="22"/>
  <c r="L48" i="22"/>
  <c r="K48" i="22"/>
  <c r="J48" i="22"/>
  <c r="I48" i="22"/>
  <c r="H48" i="22"/>
  <c r="G48" i="22"/>
  <c r="F48" i="22"/>
  <c r="E48" i="22"/>
  <c r="D48" i="22"/>
  <c r="N45" i="22"/>
  <c r="M45" i="22"/>
  <c r="J45" i="22"/>
  <c r="F45" i="22"/>
  <c r="E45" i="22"/>
  <c r="G45" i="22"/>
  <c r="G73" i="22" s="1"/>
  <c r="K50" i="22"/>
  <c r="J50" i="22"/>
  <c r="L50" i="22"/>
  <c r="F7" i="16"/>
  <c r="N50" i="22"/>
  <c r="M50" i="22"/>
  <c r="F17" i="16" l="1"/>
  <c r="G116" i="22"/>
  <c r="G97" i="22"/>
  <c r="K45" i="22"/>
  <c r="H45" i="22"/>
  <c r="H73" i="22" s="1"/>
  <c r="H97" i="22" s="1"/>
  <c r="H108" i="22"/>
  <c r="I76" i="22"/>
  <c r="J52" i="22"/>
  <c r="M73" i="22"/>
  <c r="M64" i="22"/>
  <c r="M52" i="22"/>
  <c r="G64" i="22"/>
  <c r="J76" i="22"/>
  <c r="M76" i="22"/>
  <c r="K76" i="22"/>
  <c r="K52" i="22"/>
  <c r="D64" i="22"/>
  <c r="D73" i="22"/>
  <c r="L52" i="22"/>
  <c r="L76" i="22"/>
  <c r="F76" i="22"/>
  <c r="E73" i="22"/>
  <c r="E97" i="22" s="1"/>
  <c r="E64" i="22"/>
  <c r="J64" i="22"/>
  <c r="J73" i="22"/>
  <c r="J97" i="22" s="1"/>
  <c r="E76" i="22"/>
  <c r="N64" i="22"/>
  <c r="N73" i="22"/>
  <c r="H76" i="22"/>
  <c r="I45" i="22"/>
  <c r="G76" i="22"/>
  <c r="D74" i="22"/>
  <c r="E109" i="22" s="1"/>
  <c r="D65" i="22"/>
  <c r="E46" i="22"/>
  <c r="F64" i="22"/>
  <c r="F73" i="22"/>
  <c r="F97" i="22" s="1"/>
  <c r="D76" i="22"/>
  <c r="N52" i="22"/>
  <c r="N76" i="22"/>
  <c r="L45" i="22"/>
  <c r="G67" i="22" l="1"/>
  <c r="K73" i="22"/>
  <c r="K97" i="22" s="1"/>
  <c r="K64" i="22"/>
  <c r="N108" i="22"/>
  <c r="M97" i="22"/>
  <c r="N116" i="22"/>
  <c r="N97" i="22"/>
  <c r="L13" i="16"/>
  <c r="H64" i="22"/>
  <c r="L15" i="16"/>
  <c r="L9" i="16"/>
  <c r="L16" i="16"/>
  <c r="L12" i="16"/>
  <c r="L7" i="16"/>
  <c r="L11" i="16"/>
  <c r="L10" i="16"/>
  <c r="L8" i="16"/>
  <c r="L14" i="16"/>
  <c r="M116" i="22"/>
  <c r="L108" i="22"/>
  <c r="K108" i="22"/>
  <c r="J116" i="22"/>
  <c r="D116" i="22"/>
  <c r="E108" i="22"/>
  <c r="H116" i="22"/>
  <c r="I108" i="22"/>
  <c r="L64" i="22"/>
  <c r="L73" i="22"/>
  <c r="L97" i="22" s="1"/>
  <c r="I73" i="22"/>
  <c r="I97" i="22" s="1"/>
  <c r="I64" i="22"/>
  <c r="E116" i="22"/>
  <c r="F108" i="22"/>
  <c r="F46" i="22"/>
  <c r="E65" i="22"/>
  <c r="E74" i="22"/>
  <c r="F109" i="22" s="1"/>
  <c r="F116" i="22"/>
  <c r="G108" i="22"/>
  <c r="K116" i="22" l="1"/>
  <c r="L17" i="16"/>
  <c r="M67" i="22" s="1"/>
  <c r="H50" i="22"/>
  <c r="H52" i="22" s="1"/>
  <c r="D50" i="22"/>
  <c r="E50" i="22"/>
  <c r="F50" i="22"/>
  <c r="G50" i="22"/>
  <c r="G52" i="22" s="1"/>
  <c r="G11" i="16"/>
  <c r="G8" i="16"/>
  <c r="G10" i="16"/>
  <c r="G7" i="16"/>
  <c r="G9" i="16"/>
  <c r="E8" i="16"/>
  <c r="E7" i="16"/>
  <c r="E9" i="16"/>
  <c r="I116" i="22"/>
  <c r="J108" i="22"/>
  <c r="C17" i="16"/>
  <c r="D67" i="22" s="1"/>
  <c r="D7" i="16"/>
  <c r="D8" i="16"/>
  <c r="M10" i="16"/>
  <c r="M12" i="16"/>
  <c r="M16" i="16"/>
  <c r="M15" i="16"/>
  <c r="M9" i="16"/>
  <c r="M7" i="16"/>
  <c r="M13" i="16"/>
  <c r="M11" i="16"/>
  <c r="M8" i="16"/>
  <c r="M14" i="16"/>
  <c r="I13" i="16"/>
  <c r="I7" i="16"/>
  <c r="I11" i="16"/>
  <c r="I10" i="16"/>
  <c r="I8" i="16"/>
  <c r="I12" i="16"/>
  <c r="I9" i="16"/>
  <c r="F65" i="22"/>
  <c r="F74" i="22"/>
  <c r="G109" i="22" s="1"/>
  <c r="J13" i="16"/>
  <c r="J11" i="16"/>
  <c r="J12" i="16"/>
  <c r="J8" i="16"/>
  <c r="J14" i="16"/>
  <c r="J7" i="16"/>
  <c r="J9" i="16"/>
  <c r="J10" i="16"/>
  <c r="G46" i="22"/>
  <c r="L116" i="22"/>
  <c r="M108" i="22"/>
  <c r="D17" i="16" l="1"/>
  <c r="E67" i="22" s="1"/>
  <c r="G17" i="16"/>
  <c r="H67" i="22" s="1"/>
  <c r="I17" i="16"/>
  <c r="J67" i="22" s="1"/>
  <c r="J17" i="16"/>
  <c r="K67" i="22" s="1"/>
  <c r="M17" i="16"/>
  <c r="E17" i="16"/>
  <c r="F67" i="22" s="1"/>
  <c r="I50" i="22"/>
  <c r="I52" i="22" s="1"/>
  <c r="F52" i="22"/>
  <c r="E52" i="22"/>
  <c r="D52" i="22"/>
  <c r="K9" i="16"/>
  <c r="K12" i="16"/>
  <c r="K7" i="16"/>
  <c r="K11" i="16"/>
  <c r="K14" i="16"/>
  <c r="K8" i="16"/>
  <c r="K13" i="16"/>
  <c r="K10" i="16"/>
  <c r="K15" i="16"/>
  <c r="H46" i="22"/>
  <c r="G65" i="22"/>
  <c r="G74" i="22"/>
  <c r="H109" i="22" s="1"/>
  <c r="N7" i="16"/>
  <c r="N8" i="16"/>
  <c r="N15" i="16"/>
  <c r="N13" i="16"/>
  <c r="N10" i="16"/>
  <c r="N12" i="16"/>
  <c r="N16" i="16"/>
  <c r="N14" i="16"/>
  <c r="N11" i="16"/>
  <c r="N9" i="16"/>
  <c r="H11" i="16"/>
  <c r="H7" i="16"/>
  <c r="H10" i="16"/>
  <c r="H12" i="16"/>
  <c r="H9" i="16"/>
  <c r="H8" i="16"/>
  <c r="N17" i="16" l="1"/>
  <c r="K17" i="16"/>
  <c r="L67" i="22" s="1"/>
  <c r="H17" i="16"/>
  <c r="I67" i="22" s="1"/>
  <c r="I46" i="22"/>
  <c r="H65" i="22"/>
  <c r="H74" i="22"/>
  <c r="I109" i="22" s="1"/>
  <c r="O12" i="16"/>
  <c r="O15" i="16"/>
  <c r="O13" i="16"/>
  <c r="O16" i="16"/>
  <c r="O11" i="16"/>
  <c r="O8" i="16"/>
  <c r="O14" i="16"/>
  <c r="O10" i="16"/>
  <c r="O7" i="16"/>
  <c r="O9" i="16"/>
  <c r="N67" i="22" l="1"/>
  <c r="O17" i="16"/>
  <c r="P16" i="16"/>
  <c r="P15" i="16"/>
  <c r="P8" i="16"/>
  <c r="P14" i="16"/>
  <c r="P7" i="16"/>
  <c r="P11" i="16"/>
  <c r="P9" i="16"/>
  <c r="P13" i="16"/>
  <c r="P12" i="16"/>
  <c r="P10" i="16"/>
  <c r="J46" i="22"/>
  <c r="I65" i="22"/>
  <c r="I74" i="22"/>
  <c r="J109" i="22" s="1"/>
  <c r="P17" i="16" l="1"/>
  <c r="J74" i="22"/>
  <c r="K109" i="22" s="1"/>
  <c r="J65" i="22"/>
  <c r="K46" i="22"/>
  <c r="Q12" i="16"/>
  <c r="Q7" i="16"/>
  <c r="Q11" i="16"/>
  <c r="Q10" i="16"/>
  <c r="Q15" i="16"/>
  <c r="Q14" i="16"/>
  <c r="Q13" i="16"/>
  <c r="Q16" i="16"/>
  <c r="Q8" i="16"/>
  <c r="Q9" i="16"/>
  <c r="Q17" i="16" l="1"/>
  <c r="R11" i="16"/>
  <c r="R9" i="16"/>
  <c r="R7" i="16"/>
  <c r="R16" i="16"/>
  <c r="R10" i="16"/>
  <c r="R12" i="16"/>
  <c r="R13" i="16"/>
  <c r="R8" i="16"/>
  <c r="R14" i="16"/>
  <c r="R15" i="16"/>
  <c r="K65" i="22"/>
  <c r="K74" i="22"/>
  <c r="L109" i="22" s="1"/>
  <c r="L46" i="22"/>
  <c r="R17" i="16" l="1"/>
  <c r="N46" i="22"/>
  <c r="M46" i="22"/>
  <c r="S13" i="16"/>
  <c r="S9" i="16"/>
  <c r="S7" i="16"/>
  <c r="S10" i="16"/>
  <c r="S16" i="16"/>
  <c r="S15" i="16"/>
  <c r="S14" i="16"/>
  <c r="S12" i="16"/>
  <c r="S8" i="16"/>
  <c r="S11" i="16"/>
  <c r="L74" i="22"/>
  <c r="M109" i="22" s="1"/>
  <c r="L65" i="22"/>
  <c r="S17" i="16" l="1"/>
  <c r="T14" i="16"/>
  <c r="T9" i="16"/>
  <c r="T12" i="16"/>
  <c r="T15" i="16"/>
  <c r="T7" i="16"/>
  <c r="T8" i="16"/>
  <c r="T13" i="16"/>
  <c r="T16" i="16"/>
  <c r="T10" i="16"/>
  <c r="T11" i="16"/>
  <c r="M74" i="22"/>
  <c r="N109" i="22" s="1"/>
  <c r="M65" i="22"/>
  <c r="N74" i="22"/>
  <c r="N65" i="22"/>
  <c r="T17" i="16" l="1"/>
  <c r="U9" i="16"/>
  <c r="U16" i="16"/>
  <c r="U7" i="16"/>
  <c r="U15" i="16"/>
  <c r="U11" i="16"/>
  <c r="U12" i="16"/>
  <c r="U14" i="16"/>
  <c r="U10" i="16"/>
  <c r="U13" i="16"/>
  <c r="U8" i="16"/>
  <c r="J69" i="22"/>
  <c r="K69" i="22"/>
  <c r="M69" i="22"/>
  <c r="E69" i="22"/>
  <c r="U17" i="16" l="1"/>
  <c r="M54" i="22"/>
  <c r="M56" i="22" s="1"/>
  <c r="M60" i="22" s="1"/>
  <c r="M78" i="22" s="1"/>
  <c r="M81" i="22"/>
  <c r="F54" i="22"/>
  <c r="J81" i="22"/>
  <c r="J54" i="22"/>
  <c r="J56" i="22" s="1"/>
  <c r="J60" i="22" s="1"/>
  <c r="J78" i="22" s="1"/>
  <c r="E81" i="22"/>
  <c r="E54" i="22"/>
  <c r="V15" i="16"/>
  <c r="V8" i="16"/>
  <c r="V10" i="16"/>
  <c r="V16" i="16"/>
  <c r="V7" i="16"/>
  <c r="V9" i="16"/>
  <c r="V13" i="16"/>
  <c r="V11" i="16"/>
  <c r="V12" i="16"/>
  <c r="V14" i="16"/>
  <c r="F69" i="22"/>
  <c r="F81" i="22" s="1"/>
  <c r="K81" i="22"/>
  <c r="K54" i="22"/>
  <c r="K56" i="22" s="1"/>
  <c r="K60" i="22" s="1"/>
  <c r="K78" i="22" s="1"/>
  <c r="J83" i="22" l="1"/>
  <c r="M87" i="22"/>
  <c r="M83" i="22"/>
  <c r="K83" i="22"/>
  <c r="V17" i="16"/>
  <c r="L69" i="22"/>
  <c r="H69" i="22"/>
  <c r="H81" i="22" s="1"/>
  <c r="G69" i="22"/>
  <c r="E56" i="22"/>
  <c r="E60" i="22" s="1"/>
  <c r="E78" i="22" s="1"/>
  <c r="E83" i="22" s="1"/>
  <c r="D69" i="22"/>
  <c r="F56" i="22"/>
  <c r="F60" i="22" s="1"/>
  <c r="F78" i="22" s="1"/>
  <c r="F83" i="22" s="1"/>
  <c r="J87" i="22"/>
  <c r="K87" i="22"/>
  <c r="W12" i="16"/>
  <c r="Y12" i="16" s="1"/>
  <c r="W14" i="16"/>
  <c r="Y14" i="16" s="1"/>
  <c r="W16" i="16"/>
  <c r="Y16" i="16" s="1"/>
  <c r="W10" i="16"/>
  <c r="Y10" i="16" s="1"/>
  <c r="W9" i="16"/>
  <c r="Y9" i="16" s="1"/>
  <c r="W13" i="16"/>
  <c r="Y13" i="16" s="1"/>
  <c r="W8" i="16"/>
  <c r="Y8" i="16" s="1"/>
  <c r="W11" i="16"/>
  <c r="Y11" i="16" s="1"/>
  <c r="W15" i="16"/>
  <c r="Y15" i="16" s="1"/>
  <c r="W7" i="16"/>
  <c r="M89" i="22" l="1"/>
  <c r="M93" i="22" s="1"/>
  <c r="M100" i="22" s="1"/>
  <c r="D54" i="22"/>
  <c r="D56" i="22" s="1"/>
  <c r="D60" i="22" s="1"/>
  <c r="D78" i="22" s="1"/>
  <c r="D81" i="22"/>
  <c r="W17" i="16"/>
  <c r="Y17" i="16" s="1"/>
  <c r="I69" i="22"/>
  <c r="I54" i="22" s="1"/>
  <c r="I56" i="22" s="1"/>
  <c r="I60" i="22" s="1"/>
  <c r="I78" i="22" s="1"/>
  <c r="H54" i="22"/>
  <c r="H56" i="22" s="1"/>
  <c r="H60" i="22" s="1"/>
  <c r="H78" i="22" s="1"/>
  <c r="G54" i="22"/>
  <c r="G56" i="22" s="1"/>
  <c r="G60" i="22" s="1"/>
  <c r="G78" i="22" s="1"/>
  <c r="G81" i="22"/>
  <c r="K89" i="22"/>
  <c r="K93" i="22" s="1"/>
  <c r="F87" i="22"/>
  <c r="Y7" i="16"/>
  <c r="L54" i="22"/>
  <c r="L56" i="22" s="1"/>
  <c r="L60" i="22" s="1"/>
  <c r="L78" i="22" s="1"/>
  <c r="L81" i="22"/>
  <c r="E87" i="22"/>
  <c r="J89" i="22"/>
  <c r="J93" i="22" s="1"/>
  <c r="N113" i="22" l="1"/>
  <c r="D83" i="22"/>
  <c r="G83" i="22"/>
  <c r="H87" i="22"/>
  <c r="H83" i="22"/>
  <c r="L83" i="22"/>
  <c r="N69" i="22"/>
  <c r="I81" i="22"/>
  <c r="I83" i="22" s="1"/>
  <c r="G87" i="22"/>
  <c r="I87" i="22"/>
  <c r="E89" i="22"/>
  <c r="E93" i="22" s="1"/>
  <c r="F113" i="22" s="1"/>
  <c r="F89" i="22"/>
  <c r="F93" i="22" s="1"/>
  <c r="G113" i="22" s="1"/>
  <c r="K100" i="22"/>
  <c r="L113" i="22"/>
  <c r="K113" i="22"/>
  <c r="J100" i="22"/>
  <c r="D87" i="22"/>
  <c r="L87" i="22"/>
  <c r="H89" i="22" l="1"/>
  <c r="H93" i="22" s="1"/>
  <c r="I113" i="22" s="1"/>
  <c r="N54" i="22"/>
  <c r="N56" i="22" s="1"/>
  <c r="N60" i="22" s="1"/>
  <c r="N78" i="22" s="1"/>
  <c r="N81" i="22"/>
  <c r="G89" i="22"/>
  <c r="G93" i="22" s="1"/>
  <c r="H113" i="22" s="1"/>
  <c r="E100" i="22"/>
  <c r="F100" i="22"/>
  <c r="I89" i="22"/>
  <c r="I93" i="22" s="1"/>
  <c r="L89" i="22"/>
  <c r="L93" i="22" s="1"/>
  <c r="D89" i="22"/>
  <c r="H100" i="22" l="1"/>
  <c r="N83" i="22"/>
  <c r="N87" i="22"/>
  <c r="G100" i="22"/>
  <c r="I100" i="22"/>
  <c r="J113" i="22"/>
  <c r="D93" i="22"/>
  <c r="M113" i="22"/>
  <c r="L100" i="22"/>
  <c r="N89" i="22" l="1"/>
  <c r="E95" i="22"/>
  <c r="M95" i="22"/>
  <c r="F95" i="22"/>
  <c r="G95" i="22"/>
  <c r="D95" i="22"/>
  <c r="D117" i="22" s="1"/>
  <c r="J95" i="22"/>
  <c r="D100" i="22"/>
  <c r="K95" i="22"/>
  <c r="H95" i="22"/>
  <c r="L95" i="22"/>
  <c r="I95" i="22"/>
  <c r="N93" i="22" l="1"/>
  <c r="E117" i="22"/>
  <c r="F117" i="22" s="1"/>
  <c r="G117" i="22" s="1"/>
  <c r="H117" i="22" s="1"/>
  <c r="I117" i="22" s="1"/>
  <c r="J117" i="22" s="1"/>
  <c r="K117" i="22" s="1"/>
  <c r="L117" i="22" s="1"/>
  <c r="M117" i="22" s="1"/>
  <c r="L102" i="22"/>
  <c r="I102" i="22"/>
  <c r="G102" i="22"/>
  <c r="E113" i="22"/>
  <c r="I11" i="22" s="1"/>
  <c r="F27" i="24" s="1"/>
  <c r="E102" i="22"/>
  <c r="J102" i="22"/>
  <c r="M102" i="22"/>
  <c r="D102" i="22"/>
  <c r="K102" i="22"/>
  <c r="H102" i="22"/>
  <c r="F102" i="22"/>
  <c r="D118" i="22"/>
  <c r="E118" i="22" l="1"/>
  <c r="F118" i="22" s="1"/>
  <c r="G118" i="22" s="1"/>
  <c r="H118" i="22" s="1"/>
  <c r="I118" i="22" s="1"/>
  <c r="J118" i="22" s="1"/>
  <c r="K118" i="22" s="1"/>
  <c r="L118" i="22" s="1"/>
  <c r="M118" i="22" s="1"/>
  <c r="N100" i="22"/>
  <c r="N95" i="22"/>
  <c r="N117" i="22" s="1"/>
  <c r="N102" i="22" l="1"/>
  <c r="N118" i="22" s="1"/>
  <c r="I8" i="22" s="1"/>
  <c r="F24" i="24" s="1"/>
  <c r="E104" i="22"/>
  <c r="I6" i="22" s="1"/>
  <c r="F22" i="24" s="1"/>
  <c r="I9" i="22" l="1"/>
  <c r="F25" i="24" s="1"/>
</calcChain>
</file>

<file path=xl/comments1.xml><?xml version="1.0" encoding="utf-8"?>
<comments xmlns="http://schemas.openxmlformats.org/spreadsheetml/2006/main">
  <authors>
    <author>Brent &amp; Natalie Johnson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>https://www.shrm.org/about/foundation/research/documents/retaining%20talent-%20final.pdf</t>
        </r>
        <r>
          <rPr>
            <sz val="9"/>
            <color indexed="81"/>
            <rFont val="Tahoma"/>
            <family val="2"/>
          </rPr>
          <t xml:space="preserve">
Cascio, W.F. 2006. Managing Human Resources: Productivity, Quality of
Work Life, Profits (7th ed.). Burr Ridge, IL: Irwin/McGraw-Hill. Mitchell,
T.R., Holtom, B.C., &amp; Lee, T.W. 2001. How to keep your best employees:
Developing an effective retention policy. Academy of Management Executive,
15, 96-108.
</t>
        </r>
      </text>
    </comment>
  </commentList>
</comments>
</file>

<file path=xl/sharedStrings.xml><?xml version="1.0" encoding="utf-8"?>
<sst xmlns="http://schemas.openxmlformats.org/spreadsheetml/2006/main" count="177" uniqueCount="122">
  <si>
    <t>Gross Margin</t>
  </si>
  <si>
    <t>Total Revenues</t>
  </si>
  <si>
    <t xml:space="preserve">All amounts in: </t>
  </si>
  <si>
    <t>Project Expense</t>
  </si>
  <si>
    <t>Implied Tax Rate:</t>
  </si>
  <si>
    <t>Cost of Capital:</t>
  </si>
  <si>
    <t>Cumulative Cash Flows</t>
  </si>
  <si>
    <t>Fiscal Year</t>
  </si>
  <si>
    <t>Stub Year Fraction:</t>
  </si>
  <si>
    <t>Capital Expenditures:</t>
  </si>
  <si>
    <t>Revenue Contribution:</t>
  </si>
  <si>
    <t>Selling, General &amp; Admin Expense:</t>
  </si>
  <si>
    <t>Total COGS</t>
  </si>
  <si>
    <t>Total SG&amp;A</t>
  </si>
  <si>
    <t>Cost of Goods Sold (COGS):</t>
  </si>
  <si>
    <t>Other Expenses:</t>
  </si>
  <si>
    <t>Total Other Expenses</t>
  </si>
  <si>
    <t>Total Revenue</t>
  </si>
  <si>
    <t>Operating Income (EBIT)</t>
  </si>
  <si>
    <t>Year</t>
  </si>
  <si>
    <t>Project Year</t>
  </si>
  <si>
    <t>Total Capital Requirements</t>
  </si>
  <si>
    <t>Total Depreciation</t>
  </si>
  <si>
    <t>Operating Profit (EBIT)</t>
  </si>
  <si>
    <t>Depreciation &amp; Amortization</t>
  </si>
  <si>
    <t>(from Project CapEx)</t>
  </si>
  <si>
    <t>EBITDA</t>
  </si>
  <si>
    <t>Tax Rate</t>
  </si>
  <si>
    <t>Income Taxes</t>
  </si>
  <si>
    <t>EBIAT</t>
  </si>
  <si>
    <t>Net Cash Flow</t>
  </si>
  <si>
    <t>Discount Factor</t>
  </si>
  <si>
    <t>Midyear Adjustment Factor</t>
  </si>
  <si>
    <t>Sum of Discounted Cash Flows</t>
  </si>
  <si>
    <t>Payback Period</t>
  </si>
  <si>
    <t>Internal Rate of Return</t>
  </si>
  <si>
    <t>Project Valuation</t>
  </si>
  <si>
    <t>Cumulative DCF</t>
  </si>
  <si>
    <t>Discounted</t>
  </si>
  <si>
    <t>Non-Discounted</t>
  </si>
  <si>
    <t>DEPRECIATION SCHEDULE</t>
  </si>
  <si>
    <t xml:space="preserve">Year </t>
  </si>
  <si>
    <t>PROJECT</t>
  </si>
  <si>
    <t>TOTALS</t>
  </si>
  <si>
    <t xml:space="preserve">YEAR 0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</si>
  <si>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</si>
  <si>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</si>
  <si>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</si>
  <si>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</si>
  <si>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</si>
  <si>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</si>
  <si>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</si>
  <si>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</si>
  <si>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</si>
  <si>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TOTAL</t>
  </si>
  <si>
    <t>Net Present Value:</t>
  </si>
  <si>
    <t>Discounted Payback Period:</t>
  </si>
  <si>
    <t>Non-Discounted Payback Period:</t>
  </si>
  <si>
    <t>Estimated Project IRR:</t>
  </si>
  <si>
    <t>Net Cash Flows</t>
  </si>
  <si>
    <t>PV of Net Cash Flows</t>
  </si>
  <si>
    <t xml:space="preserve">Year 1 Expenditures </t>
  </si>
  <si>
    <t xml:space="preserve">(Capital &amp; Project) </t>
  </si>
  <si>
    <t>Project Income</t>
  </si>
  <si>
    <t>Project One-time &amp; Other Expenses</t>
  </si>
  <si>
    <t>Equipment and Fixtures</t>
  </si>
  <si>
    <t>Last FY End Date:</t>
  </si>
  <si>
    <t>Spending in:</t>
  </si>
  <si>
    <t>Project Start Date (Beneficial Use):</t>
  </si>
  <si>
    <t>Equipment Life:</t>
  </si>
  <si>
    <t>Equipment Depreciation (years)</t>
  </si>
  <si>
    <t>Reduction in Direct Labor Costs</t>
  </si>
  <si>
    <t>Reduction in injury related expense</t>
  </si>
  <si>
    <t>INCOME STATEMENT INPUTS</t>
  </si>
  <si>
    <t>CAPITAL REQUIREMENT INPUTS</t>
  </si>
  <si>
    <t>CALCULATED INCOME STATEMENT</t>
  </si>
  <si>
    <t>CALCULATED DEPRECIATION</t>
  </si>
  <si>
    <t>DISCOUNTED CASH FLOW</t>
  </si>
  <si>
    <t>IRR ESTIMATE</t>
  </si>
  <si>
    <t>PAYBACK PERIOD TABLE</t>
  </si>
  <si>
    <t>FINANCIAL METRIC SUMMARY</t>
  </si>
  <si>
    <t>FINANCIAL MODEL INPUTS</t>
  </si>
  <si>
    <t>**Enter In Fiscal Years**</t>
  </si>
  <si>
    <t>Pallets Handled Per Year</t>
  </si>
  <si>
    <t>Benefit Load %</t>
  </si>
  <si>
    <t>TMU</t>
  </si>
  <si>
    <t>Forklift Remove Stack</t>
  </si>
  <si>
    <t>Forklift Remove Poor Stack</t>
  </si>
  <si>
    <t>Forklift Driver Straighten Stack</t>
  </si>
  <si>
    <t>Sec</t>
  </si>
  <si>
    <t>Stack pallets in Pick Module</t>
  </si>
  <si>
    <t>Release Stack for pickup</t>
  </si>
  <si>
    <t>PRD Cost</t>
  </si>
  <si>
    <t>At-Risk Behavior Factor</t>
  </si>
  <si>
    <t>Hourly Wage Rate (Order Selector)</t>
  </si>
  <si>
    <t>Hourly Wage Rate (Forklift Operator)</t>
  </si>
  <si>
    <t>Pallets per stack (conventional)</t>
  </si>
  <si>
    <t>Stacks needing adjustment (%)</t>
  </si>
  <si>
    <t>Injury Cost - Direct (Medical &amp; Indemnity)</t>
  </si>
  <si>
    <t>Injury Cost - Indirect (Hire, Train)</t>
  </si>
  <si>
    <t>Cost</t>
  </si>
  <si>
    <t>Total Cost to handle Pallets:</t>
  </si>
  <si>
    <t>Hours</t>
  </si>
  <si>
    <t>Conventional</t>
  </si>
  <si>
    <t>PRD</t>
  </si>
  <si>
    <t>Potential Lost-Time Injuries per year</t>
  </si>
  <si>
    <t>Total Annual Injury Cost (Direct)</t>
  </si>
  <si>
    <t>Total Annual Injury Cost (Indirect)</t>
  </si>
  <si>
    <t>Total Annual Cost to Handle Pallets:</t>
  </si>
  <si>
    <t>Savings</t>
  </si>
  <si>
    <t>Total Project Implementation Costs</t>
  </si>
  <si>
    <t>Total Equipment Costs (Capital)</t>
  </si>
  <si>
    <t>Conventional Pallet Return Cost</t>
  </si>
  <si>
    <t>Pallet Return Locations</t>
  </si>
  <si>
    <t>Conventional Pallet Returns</t>
  </si>
  <si>
    <t>Annual</t>
  </si>
  <si>
    <t>Per Pallet</t>
  </si>
  <si>
    <t>Step Description</t>
  </si>
  <si>
    <t>ROI MODEL INPUTS</t>
  </si>
  <si>
    <t>Fiscal Year End Date:</t>
  </si>
  <si>
    <t>COST COMPARISONS</t>
  </si>
  <si>
    <t>Percentage of Current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</si>
</sst>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_);\(#,##0.0\)"/>
    <numFmt numFmtId="166" formatCode="0_);\(0\)"/>
    <numFmt numFmtId="167" formatCode="[&gt;1]&quot;10Q: &quot;0&quot; qtrs&quot;;&quot;10Q: &quot;0&quot; qtr&quot;"/>
    <numFmt numFmtId="168" formatCode="&quot;$&quot;#,##0.00_);[Red]\(&quot;$&quot;#,##0.00\);&quot;--  &quot;;_(@_)"/>
    <numFmt numFmtId="169" formatCode="mmm\-dd\-yy"/>
    <numFmt numFmtId="170" formatCode="mmm\-dd\-yyyy"/>
    <numFmt numFmtId="171" formatCode="mmm\-d\-yyyy"/>
    <numFmt numFmtId="172" formatCode="mmm\-yyyy"/>
    <numFmt numFmtId="173" formatCode="#,##0.0_);[Red]\(#,##0.0\);&quot;--  &quot;"/>
    <numFmt numFmtId="174" formatCode="#,##0.0_);[Red]\(#,##0.0\)"/>
    <numFmt numFmtId="175" formatCode="#,##0.000_);[Red]\(#,##0.000\)"/>
    <numFmt numFmtId="176" formatCode="#,##0.00&quot;x&quot;_);[Red]\(#,##0.00&quot;x&quot;\)"/>
    <numFmt numFmtId="177" formatCode="#,##0.0%_);[Red]\(#,##0.0%\)"/>
    <numFmt numFmtId="178" formatCode="#,##0.00%_);[Red]\(#,##0.00%\)"/>
    <numFmt numFmtId="179" formatCode="0.00\x"/>
    <numFmt numFmtId="180" formatCode="#,##0.000_);\(#,##0.000\)"/>
    <numFmt numFmtId="181" formatCode="&quot;$&quot;#,##0.0_);\(&quot;$&quot;#,##0.0\)"/>
    <numFmt numFmtId="182" formatCode=";;;"/>
    <numFmt numFmtId="183" formatCode="General_)"/>
    <numFmt numFmtId="184" formatCode="&quot;$&quot;#,##0.00000_);\(&quot;$&quot;#,##0.00000\)"/>
    <numFmt numFmtId="185" formatCode="_(* #,##0_);_(* \(#,##0\);_(* &quot;-&quot;??_);_(@_)"/>
    <numFmt numFmtId="186" formatCode="_(&quot;$&quot;* #,##0_);_(&quot;$&quot;* \(#,##0\);_(&quot;$&quot;* &quot;-&quot;??_);_(@_)"/>
    <numFmt numFmtId="187" formatCode="&quot;$&quot;#,##0"/>
    <numFmt numFmtId="188" formatCode="_(* #,##0.0_);_(* \(#,##0.0\);_(* &quot;-&quot;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24"/>
      <name val="Arial"/>
      <family val="2"/>
    </font>
    <font>
      <sz val="24"/>
      <color indexed="23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4.9989318521683403E-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/>
      <right style="medium">
        <color indexed="64"/>
      </right>
      <top style="thin">
        <color theme="0" tint="-4.9989318521683403E-2"/>
      </top>
      <bottom/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</borders>
  <cellStyleXfs count="69">
    <xf numFmtId="0" fontId="0" fillId="0" borderId="0"/>
    <xf numFmtId="167" fontId="3" fillId="0" borderId="0" applyFill="0" applyBorder="0" applyAlignment="0" applyProtection="0">
      <alignment horizontal="right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9" fillId="0" borderId="0" applyFont="0" applyFill="0" applyBorder="0" applyAlignment="0" applyProtection="0"/>
    <xf numFmtId="168" fontId="10" fillId="0" borderId="3" applyFont="0" applyFill="0" applyBorder="0" applyAlignment="0" applyProtection="0"/>
    <xf numFmtId="44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1" fillId="22" borderId="4" applyFont="0" applyFill="0" applyBorder="0" applyAlignment="0" applyProtection="0"/>
    <xf numFmtId="172" fontId="3" fillId="0" borderId="5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9" applyNumberFormat="0" applyFill="0" applyAlignment="0" applyProtection="0"/>
    <xf numFmtId="14" fontId="3" fillId="0" borderId="5" applyFont="0" applyFill="0" applyBorder="0" applyAlignment="0" applyProtection="0"/>
    <xf numFmtId="0" fontId="20" fillId="23" borderId="0" applyNumberFormat="0" applyBorder="0" applyAlignment="0" applyProtection="0"/>
    <xf numFmtId="173" fontId="10" fillId="0" borderId="0" applyFont="0" applyFill="0" applyBorder="0" applyAlignment="0" applyProtection="0">
      <alignment horizontal="right"/>
    </xf>
    <xf numFmtId="37" fontId="11" fillId="24" borderId="0" applyFont="0" applyFill="0" applyBorder="0" applyAlignment="0" applyProtection="0"/>
    <xf numFmtId="174" fontId="9" fillId="0" borderId="0" applyFont="0" applyFill="0" applyBorder="0" applyAlignment="0"/>
    <xf numFmtId="175" fontId="10" fillId="0" borderId="0" applyFont="0" applyFill="0" applyBorder="0" applyAlignment="0"/>
    <xf numFmtId="166" fontId="10" fillId="0" borderId="0" applyFont="0" applyFill="0" applyBorder="0" applyAlignment="0"/>
    <xf numFmtId="0" fontId="9" fillId="0" borderId="0"/>
    <xf numFmtId="5" fontId="46" fillId="0" borderId="0"/>
    <xf numFmtId="0" fontId="31" fillId="0" borderId="0"/>
    <xf numFmtId="176" fontId="10" fillId="0" borderId="0" applyFont="0" applyFill="0" applyBorder="0" applyAlignment="0" applyProtection="0"/>
    <xf numFmtId="0" fontId="9" fillId="25" borderId="10" applyNumberFormat="0" applyFont="0" applyAlignment="0" applyProtection="0"/>
    <xf numFmtId="0" fontId="21" fillId="20" borderId="11" applyNumberFormat="0" applyAlignment="0" applyProtection="0"/>
    <xf numFmtId="9" fontId="9" fillId="0" borderId="0" applyFont="0" applyFill="0" applyBorder="0" applyAlignment="0" applyProtection="0"/>
    <xf numFmtId="177" fontId="22" fillId="22" borderId="12" applyFill="0" applyBorder="0" applyAlignment="0" applyProtection="0">
      <alignment horizontal="right"/>
      <protection locked="0"/>
    </xf>
    <xf numFmtId="178" fontId="22" fillId="26" borderId="0" applyFill="0" applyBorder="0" applyAlignment="0" applyProtection="0">
      <protection hidden="1"/>
    </xf>
    <xf numFmtId="9" fontId="9" fillId="0" borderId="0" applyFont="0" applyFill="0" applyBorder="0" applyAlignment="0" applyProtection="0"/>
    <xf numFmtId="174" fontId="23" fillId="0" borderId="0" applyNumberFormat="0" applyFill="0" applyBorder="0" applyAlignment="0" applyProtection="0">
      <alignment horizontal="left"/>
    </xf>
    <xf numFmtId="179" fontId="10" fillId="0" borderId="0" applyFont="0" applyFill="0" applyBorder="0" applyAlignment="0" applyProtection="0">
      <alignment horizontal="right"/>
    </xf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5" fontId="47" fillId="0" borderId="0"/>
    <xf numFmtId="0" fontId="1" fillId="0" borderId="0"/>
    <xf numFmtId="44" fontId="48" fillId="0" borderId="0" applyFont="0" applyFill="0" applyBorder="0" applyAlignment="0" applyProtection="0"/>
  </cellStyleXfs>
  <cellXfs count="283">
    <xf numFmtId="0" fontId="0" fillId="0" borderId="0" xfId="0"/>
    <xf numFmtId="0" fontId="28" fillId="0" borderId="25" xfId="0" applyFont="1" applyFill="1" applyBorder="1" applyAlignment="1" applyProtection="1">
      <alignment horizontal="center"/>
    </xf>
    <xf numFmtId="183" fontId="28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28" fillId="0" borderId="0" xfId="0" applyNumberFormat="1" applyFont="1" applyBorder="1" applyAlignment="1" applyProtection="1">
      <alignment horizontal="center"/>
    </xf>
    <xf numFmtId="182" fontId="9" fillId="0" borderId="0" xfId="0" applyNumberFormat="1" applyFont="1" applyBorder="1" applyProtection="1"/>
    <xf numFmtId="183" fontId="9" fillId="0" borderId="0" xfId="0" applyNumberFormat="1" applyFont="1" applyFill="1" applyBorder="1" applyAlignment="1" applyProtection="1">
      <alignment horizontal="center"/>
    </xf>
    <xf numFmtId="0" fontId="28" fillId="0" borderId="5" xfId="0" applyNumberFormat="1" applyFont="1" applyBorder="1" applyAlignment="1" applyProtection="1">
      <alignment horizontal="center"/>
    </xf>
    <xf numFmtId="183" fontId="28" fillId="0" borderId="5" xfId="0" applyNumberFormat="1" applyFont="1" applyFill="1" applyBorder="1" applyAlignment="1" applyProtection="1">
      <alignment horizontal="center"/>
    </xf>
    <xf numFmtId="0" fontId="41" fillId="26" borderId="0" xfId="0" applyFont="1" applyFill="1" applyProtection="1"/>
    <xf numFmtId="0" fontId="42" fillId="26" borderId="0" xfId="0" applyFont="1" applyFill="1" applyAlignment="1" applyProtection="1"/>
    <xf numFmtId="0" fontId="9" fillId="26" borderId="0" xfId="0" applyFont="1" applyFill="1" applyProtection="1"/>
    <xf numFmtId="0" fontId="29" fillId="26" borderId="0" xfId="0" applyFont="1" applyFill="1" applyBorder="1" applyAlignment="1" applyProtection="1">
      <alignment horizontal="centerContinuous"/>
    </xf>
    <xf numFmtId="0" fontId="28" fillId="26" borderId="0" xfId="0" applyFont="1" applyFill="1" applyBorder="1" applyAlignment="1" applyProtection="1">
      <alignment horizontal="centerContinuous"/>
    </xf>
    <xf numFmtId="0" fontId="37" fillId="26" borderId="14" xfId="0" applyFont="1" applyFill="1" applyBorder="1" applyAlignment="1" applyProtection="1"/>
    <xf numFmtId="0" fontId="28" fillId="27" borderId="0" xfId="0" applyFont="1" applyFill="1" applyBorder="1" applyAlignment="1" applyProtection="1">
      <alignment horizontal="center"/>
    </xf>
    <xf numFmtId="0" fontId="9" fillId="27" borderId="0" xfId="0" applyFont="1" applyFill="1" applyBorder="1" applyAlignment="1" applyProtection="1">
      <alignment horizontal="right"/>
    </xf>
    <xf numFmtId="0" fontId="9" fillId="27" borderId="0" xfId="0" applyFont="1" applyFill="1" applyBorder="1" applyProtection="1"/>
    <xf numFmtId="0" fontId="9" fillId="27" borderId="15" xfId="0" applyFont="1" applyFill="1" applyBorder="1" applyProtection="1"/>
    <xf numFmtId="0" fontId="9" fillId="27" borderId="0" xfId="0" applyFont="1" applyFill="1" applyBorder="1" applyAlignment="1" applyProtection="1">
      <alignment horizontal="centerContinuous"/>
    </xf>
    <xf numFmtId="0" fontId="9" fillId="0" borderId="14" xfId="0" applyFont="1" applyFill="1" applyBorder="1" applyProtection="1"/>
    <xf numFmtId="0" fontId="9" fillId="27" borderId="0" xfId="0" applyFont="1" applyFill="1" applyBorder="1" applyAlignment="1" applyProtection="1">
      <alignment horizontal="center"/>
    </xf>
    <xf numFmtId="0" fontId="9" fillId="27" borderId="16" xfId="0" applyFont="1" applyFill="1" applyBorder="1" applyProtection="1"/>
    <xf numFmtId="0" fontId="9" fillId="27" borderId="22" xfId="0" applyFont="1" applyFill="1" applyBorder="1" applyProtection="1"/>
    <xf numFmtId="0" fontId="9" fillId="27" borderId="17" xfId="0" applyFont="1" applyFill="1" applyBorder="1" applyProtection="1"/>
    <xf numFmtId="39" fontId="9" fillId="27" borderId="0" xfId="0" applyNumberFormat="1" applyFont="1" applyFill="1" applyBorder="1" applyProtection="1"/>
    <xf numFmtId="0" fontId="9" fillId="26" borderId="0" xfId="0" applyFont="1" applyFill="1" applyBorder="1" applyProtection="1"/>
    <xf numFmtId="0" fontId="9" fillId="26" borderId="0" xfId="0" applyFont="1" applyFill="1" applyBorder="1" applyAlignment="1" applyProtection="1">
      <alignment vertical="top"/>
    </xf>
    <xf numFmtId="0" fontId="9" fillId="0" borderId="14" xfId="0" applyFont="1" applyBorder="1" applyProtection="1"/>
    <xf numFmtId="0" fontId="9" fillId="26" borderId="0" xfId="0" applyFont="1" applyFill="1" applyBorder="1" applyAlignment="1" applyProtection="1">
      <alignment horizontal="left" vertical="top"/>
    </xf>
    <xf numFmtId="0" fontId="28" fillId="0" borderId="18" xfId="0" applyFont="1" applyBorder="1" applyProtection="1"/>
    <xf numFmtId="0" fontId="28" fillId="0" borderId="0" xfId="0" applyFont="1" applyBorder="1" applyProtection="1"/>
    <xf numFmtId="0" fontId="9" fillId="27" borderId="14" xfId="0" applyFont="1" applyFill="1" applyBorder="1" applyProtection="1"/>
    <xf numFmtId="181" fontId="9" fillId="27" borderId="0" xfId="0" applyNumberFormat="1" applyFont="1" applyFill="1" applyBorder="1" applyProtection="1"/>
    <xf numFmtId="0" fontId="9" fillId="27" borderId="29" xfId="0" applyFont="1" applyFill="1" applyBorder="1" applyProtection="1"/>
    <xf numFmtId="0" fontId="28" fillId="27" borderId="14" xfId="0" applyFont="1" applyFill="1" applyBorder="1" applyProtection="1"/>
    <xf numFmtId="165" fontId="28" fillId="27" borderId="0" xfId="0" applyNumberFormat="1" applyFont="1" applyFill="1" applyBorder="1" applyProtection="1"/>
    <xf numFmtId="0" fontId="36" fillId="27" borderId="14" xfId="0" applyFont="1" applyFill="1" applyBorder="1" applyProtection="1"/>
    <xf numFmtId="0" fontId="36" fillId="27" borderId="0" xfId="0" applyFont="1" applyFill="1" applyBorder="1" applyProtection="1"/>
    <xf numFmtId="0" fontId="28" fillId="27" borderId="0" xfId="0" applyFont="1" applyFill="1" applyBorder="1" applyProtection="1"/>
    <xf numFmtId="181" fontId="28" fillId="27" borderId="0" xfId="0" applyNumberFormat="1" applyFont="1" applyFill="1" applyBorder="1" applyProtection="1"/>
    <xf numFmtId="165" fontId="9" fillId="27" borderId="0" xfId="0" applyNumberFormat="1" applyFont="1" applyFill="1" applyBorder="1" applyProtection="1"/>
    <xf numFmtId="0" fontId="9" fillId="27" borderId="14" xfId="0" applyFont="1" applyFill="1" applyBorder="1" applyAlignment="1" applyProtection="1">
      <alignment horizontal="left" indent="1"/>
    </xf>
    <xf numFmtId="0" fontId="9" fillId="27" borderId="0" xfId="0" applyFont="1" applyFill="1" applyBorder="1" applyAlignment="1" applyProtection="1">
      <alignment horizontal="left" indent="1"/>
    </xf>
    <xf numFmtId="165" fontId="9" fillId="27" borderId="5" xfId="0" applyNumberFormat="1" applyFont="1" applyFill="1" applyBorder="1" applyProtection="1"/>
    <xf numFmtId="164" fontId="39" fillId="27" borderId="0" xfId="0" applyNumberFormat="1" applyFont="1" applyFill="1" applyBorder="1" applyProtection="1"/>
    <xf numFmtId="180" fontId="36" fillId="27" borderId="0" xfId="0" applyNumberFormat="1" applyFont="1" applyFill="1" applyBorder="1" applyProtection="1"/>
    <xf numFmtId="181" fontId="28" fillId="27" borderId="12" xfId="0" applyNumberFormat="1" applyFont="1" applyFill="1" applyBorder="1" applyProtection="1"/>
    <xf numFmtId="0" fontId="28" fillId="27" borderId="29" xfId="0" applyFont="1" applyFill="1" applyBorder="1" applyProtection="1"/>
    <xf numFmtId="0" fontId="28" fillId="27" borderId="25" xfId="0" applyFont="1" applyFill="1" applyBorder="1" applyAlignment="1" applyProtection="1">
      <alignment horizontal="center"/>
    </xf>
    <xf numFmtId="0" fontId="28" fillId="27" borderId="5" xfId="0" applyFont="1" applyFill="1" applyBorder="1" applyAlignment="1" applyProtection="1">
      <alignment horizontal="centerContinuous"/>
    </xf>
    <xf numFmtId="0" fontId="9" fillId="27" borderId="5" xfId="0" applyFont="1" applyFill="1" applyBorder="1" applyAlignment="1" applyProtection="1">
      <alignment horizontal="centerContinuous"/>
    </xf>
    <xf numFmtId="0" fontId="28" fillId="27" borderId="0" xfId="0" applyFont="1" applyFill="1" applyBorder="1" applyAlignment="1" applyProtection="1">
      <alignment horizontal="right"/>
    </xf>
    <xf numFmtId="0" fontId="28" fillId="27" borderId="0" xfId="0" applyFont="1" applyFill="1" applyBorder="1" applyAlignment="1" applyProtection="1">
      <alignment horizontal="centerContinuous"/>
    </xf>
    <xf numFmtId="0" fontId="28" fillId="27" borderId="16" xfId="0" applyFont="1" applyFill="1" applyBorder="1" applyProtection="1"/>
    <xf numFmtId="0" fontId="30" fillId="27" borderId="22" xfId="0" applyFont="1" applyFill="1" applyBorder="1" applyAlignment="1" applyProtection="1">
      <alignment horizontal="right" vertical="top"/>
    </xf>
    <xf numFmtId="0" fontId="45" fillId="27" borderId="15" xfId="0" applyFont="1" applyFill="1" applyBorder="1" applyProtection="1"/>
    <xf numFmtId="185" fontId="28" fillId="27" borderId="0" xfId="29" applyNumberFormat="1" applyFont="1" applyFill="1" applyBorder="1" applyAlignment="1" applyProtection="1"/>
    <xf numFmtId="185" fontId="9" fillId="27" borderId="0" xfId="29" applyNumberFormat="1" applyFont="1" applyFill="1" applyBorder="1" applyProtection="1"/>
    <xf numFmtId="39" fontId="33" fillId="27" borderId="30" xfId="0" applyNumberFormat="1" applyFont="1" applyFill="1" applyBorder="1" applyProtection="1"/>
    <xf numFmtId="0" fontId="9" fillId="27" borderId="14" xfId="0" applyFont="1" applyFill="1" applyBorder="1" applyAlignment="1" applyProtection="1">
      <alignment horizontal="center"/>
    </xf>
    <xf numFmtId="0" fontId="9" fillId="27" borderId="5" xfId="0" applyFont="1" applyFill="1" applyBorder="1" applyAlignment="1" applyProtection="1">
      <alignment horizontal="center"/>
    </xf>
    <xf numFmtId="43" fontId="9" fillId="27" borderId="0" xfId="29" applyFont="1" applyFill="1" applyBorder="1" applyAlignment="1" applyProtection="1">
      <alignment horizontal="center"/>
    </xf>
    <xf numFmtId="0" fontId="37" fillId="27" borderId="14" xfId="0" applyFont="1" applyFill="1" applyBorder="1" applyAlignment="1" applyProtection="1"/>
    <xf numFmtId="0" fontId="37" fillId="27" borderId="0" xfId="0" applyFont="1" applyFill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9" fillId="0" borderId="15" xfId="0" applyFont="1" applyFill="1" applyBorder="1" applyProtection="1"/>
    <xf numFmtId="185" fontId="28" fillId="27" borderId="0" xfId="29" applyNumberFormat="1" applyFont="1" applyFill="1" applyBorder="1" applyProtection="1"/>
    <xf numFmtId="0" fontId="9" fillId="28" borderId="14" xfId="0" applyFont="1" applyFill="1" applyBorder="1" applyProtection="1"/>
    <xf numFmtId="0" fontId="28" fillId="28" borderId="14" xfId="0" applyFont="1" applyFill="1" applyBorder="1" applyProtection="1"/>
    <xf numFmtId="0" fontId="37" fillId="29" borderId="14" xfId="0" applyFont="1" applyFill="1" applyBorder="1" applyAlignment="1" applyProtection="1">
      <alignment horizontal="left" vertical="center" indent="8"/>
    </xf>
    <xf numFmtId="0" fontId="37" fillId="26" borderId="0" xfId="0" applyFont="1" applyFill="1" applyBorder="1" applyAlignment="1" applyProtection="1"/>
    <xf numFmtId="181" fontId="28" fillId="27" borderId="15" xfId="0" applyNumberFormat="1" applyFont="1" applyFill="1" applyBorder="1" applyAlignment="1" applyProtection="1">
      <alignment horizontal="center"/>
    </xf>
    <xf numFmtId="2" fontId="28" fillId="27" borderId="15" xfId="0" applyNumberFormat="1" applyFont="1" applyFill="1" applyBorder="1" applyAlignment="1" applyProtection="1">
      <alignment horizontal="center"/>
    </xf>
    <xf numFmtId="0" fontId="9" fillId="28" borderId="16" xfId="0" applyFont="1" applyFill="1" applyBorder="1" applyProtection="1"/>
    <xf numFmtId="164" fontId="28" fillId="27" borderId="17" xfId="0" applyNumberFormat="1" applyFont="1" applyFill="1" applyBorder="1" applyAlignment="1" applyProtection="1">
      <alignment horizontal="center"/>
    </xf>
    <xf numFmtId="0" fontId="37" fillId="29" borderId="19" xfId="0" applyFont="1" applyFill="1" applyBorder="1" applyAlignment="1" applyProtection="1">
      <alignment horizontal="centerContinuous"/>
    </xf>
    <xf numFmtId="0" fontId="37" fillId="29" borderId="20" xfId="0" applyFont="1" applyFill="1" applyBorder="1" applyAlignment="1" applyProtection="1">
      <alignment horizontal="centerContinuous"/>
    </xf>
    <xf numFmtId="0" fontId="5" fillId="29" borderId="20" xfId="0" applyFont="1" applyFill="1" applyBorder="1" applyAlignment="1" applyProtection="1">
      <alignment horizontal="centerContinuous"/>
    </xf>
    <xf numFmtId="0" fontId="5" fillId="29" borderId="21" xfId="0" applyFont="1" applyFill="1" applyBorder="1" applyAlignment="1" applyProtection="1">
      <alignment horizontal="centerContinuous"/>
    </xf>
    <xf numFmtId="0" fontId="9" fillId="29" borderId="21" xfId="0" applyFont="1" applyFill="1" applyBorder="1" applyAlignment="1" applyProtection="1">
      <alignment horizontal="centerContinuous"/>
    </xf>
    <xf numFmtId="6" fontId="37" fillId="29" borderId="16" xfId="0" applyNumberFormat="1" applyFont="1" applyFill="1" applyBorder="1" applyAlignment="1" applyProtection="1">
      <alignment horizontal="centerContinuous"/>
    </xf>
    <xf numFmtId="0" fontId="9" fillId="29" borderId="17" xfId="0" applyFont="1" applyFill="1" applyBorder="1" applyAlignment="1" applyProtection="1">
      <alignment horizontal="centerContinuous"/>
    </xf>
    <xf numFmtId="0" fontId="37" fillId="29" borderId="26" xfId="0" applyFont="1" applyFill="1" applyBorder="1" applyAlignment="1" applyProtection="1">
      <alignment horizontal="centerContinuous"/>
    </xf>
    <xf numFmtId="0" fontId="5" fillId="29" borderId="27" xfId="0" applyFont="1" applyFill="1" applyBorder="1" applyAlignment="1" applyProtection="1">
      <alignment horizontal="centerContinuous"/>
    </xf>
    <xf numFmtId="0" fontId="5" fillId="29" borderId="28" xfId="0" applyFont="1" applyFill="1" applyBorder="1" applyAlignment="1" applyProtection="1">
      <alignment horizontal="centerContinuous"/>
    </xf>
    <xf numFmtId="0" fontId="28" fillId="27" borderId="14" xfId="0" applyFont="1" applyFill="1" applyBorder="1" applyAlignment="1" applyProtection="1">
      <alignment horizontal="right"/>
    </xf>
    <xf numFmtId="0" fontId="28" fillId="27" borderId="15" xfId="0" applyFont="1" applyFill="1" applyBorder="1" applyAlignment="1" applyProtection="1">
      <alignment horizontal="right"/>
    </xf>
    <xf numFmtId="165" fontId="28" fillId="32" borderId="15" xfId="29" applyNumberFormat="1" applyFont="1" applyFill="1" applyBorder="1" applyAlignment="1" applyProtection="1">
      <alignment horizontal="center"/>
    </xf>
    <xf numFmtId="187" fontId="28" fillId="32" borderId="15" xfId="68" applyNumberFormat="1" applyFont="1" applyFill="1" applyBorder="1" applyAlignment="1" applyProtection="1">
      <alignment horizontal="center"/>
    </xf>
    <xf numFmtId="164" fontId="28" fillId="32" borderId="15" xfId="0" applyNumberFormat="1" applyFont="1" applyFill="1" applyBorder="1" applyAlignment="1" applyProtection="1">
      <alignment horizontal="center"/>
    </xf>
    <xf numFmtId="0" fontId="37" fillId="29" borderId="22" xfId="0" applyFont="1" applyFill="1" applyBorder="1" applyAlignment="1" applyProtection="1">
      <alignment horizontal="centerContinuous"/>
    </xf>
    <xf numFmtId="0" fontId="37" fillId="29" borderId="17" xfId="0" applyFont="1" applyFill="1" applyBorder="1" applyAlignment="1" applyProtection="1">
      <alignment horizontal="centerContinuous"/>
    </xf>
    <xf numFmtId="0" fontId="37" fillId="29" borderId="21" xfId="0" applyFont="1" applyFill="1" applyBorder="1" applyAlignment="1" applyProtection="1">
      <alignment horizontal="centerContinuous"/>
    </xf>
    <xf numFmtId="0" fontId="9" fillId="26" borderId="14" xfId="0" applyFont="1" applyFill="1" applyBorder="1" applyProtection="1"/>
    <xf numFmtId="0" fontId="34" fillId="32" borderId="14" xfId="0" applyFont="1" applyFill="1" applyBorder="1" applyAlignment="1" applyProtection="1">
      <alignment horizontal="centerContinuous"/>
    </xf>
    <xf numFmtId="39" fontId="9" fillId="32" borderId="0" xfId="0" applyNumberFormat="1" applyFont="1" applyFill="1" applyBorder="1" applyAlignment="1" applyProtection="1">
      <alignment horizontal="centerContinuous"/>
    </xf>
    <xf numFmtId="0" fontId="9" fillId="32" borderId="0" xfId="0" applyFont="1" applyFill="1" applyBorder="1" applyAlignment="1" applyProtection="1">
      <alignment horizontal="centerContinuous"/>
    </xf>
    <xf numFmtId="0" fontId="9" fillId="32" borderId="15" xfId="0" applyFont="1" applyFill="1" applyBorder="1" applyAlignment="1" applyProtection="1">
      <alignment horizontal="centerContinuous"/>
    </xf>
    <xf numFmtId="0" fontId="9" fillId="32" borderId="14" xfId="0" applyFont="1" applyFill="1" applyBorder="1" applyProtection="1"/>
    <xf numFmtId="39" fontId="9" fillId="32" borderId="0" xfId="0" applyNumberFormat="1" applyFont="1" applyFill="1" applyBorder="1" applyAlignment="1" applyProtection="1">
      <alignment horizontal="center"/>
    </xf>
    <xf numFmtId="0" fontId="9" fillId="32" borderId="0" xfId="0" applyFont="1" applyFill="1" applyBorder="1" applyAlignment="1" applyProtection="1">
      <alignment horizontal="center"/>
    </xf>
    <xf numFmtId="49" fontId="39" fillId="32" borderId="0" xfId="0" applyNumberFormat="1" applyFont="1" applyFill="1" applyBorder="1" applyProtection="1"/>
    <xf numFmtId="181" fontId="28" fillId="32" borderId="15" xfId="0" applyNumberFormat="1" applyFont="1" applyFill="1" applyBorder="1" applyProtection="1"/>
    <xf numFmtId="39" fontId="9" fillId="32" borderId="0" xfId="0" applyNumberFormat="1" applyFont="1" applyFill="1" applyBorder="1" applyProtection="1"/>
    <xf numFmtId="0" fontId="9" fillId="32" borderId="0" xfId="0" applyFont="1" applyFill="1" applyBorder="1" applyProtection="1"/>
    <xf numFmtId="2" fontId="28" fillId="32" borderId="15" xfId="0" applyNumberFormat="1" applyFont="1" applyFill="1" applyBorder="1" applyAlignment="1" applyProtection="1">
      <alignment horizontal="center"/>
    </xf>
    <xf numFmtId="0" fontId="9" fillId="32" borderId="0" xfId="0" applyFont="1" applyFill="1" applyBorder="1" applyAlignment="1" applyProtection="1">
      <alignment horizontal="centerContinuous" vertical="top"/>
    </xf>
    <xf numFmtId="0" fontId="38" fillId="32" borderId="0" xfId="0" applyFont="1" applyFill="1" applyBorder="1" applyAlignment="1" applyProtection="1">
      <alignment horizontal="centerContinuous"/>
    </xf>
    <xf numFmtId="9" fontId="38" fillId="32" borderId="15" xfId="0" applyNumberFormat="1" applyFont="1" applyFill="1" applyBorder="1" applyAlignment="1" applyProtection="1">
      <alignment horizontal="centerContinuous"/>
    </xf>
    <xf numFmtId="0" fontId="9" fillId="32" borderId="16" xfId="0" applyFont="1" applyFill="1" applyBorder="1" applyProtection="1"/>
    <xf numFmtId="0" fontId="9" fillId="32" borderId="22" xfId="0" applyFont="1" applyFill="1" applyBorder="1" applyAlignment="1" applyProtection="1">
      <alignment horizontal="left" vertical="top"/>
    </xf>
    <xf numFmtId="0" fontId="9" fillId="32" borderId="22" xfId="0" applyFont="1" applyFill="1" applyBorder="1" applyProtection="1"/>
    <xf numFmtId="164" fontId="28" fillId="32" borderId="17" xfId="0" applyNumberFormat="1" applyFont="1" applyFill="1" applyBorder="1" applyAlignment="1" applyProtection="1">
      <alignment horizontal="center"/>
    </xf>
    <xf numFmtId="1" fontId="28" fillId="28" borderId="25" xfId="0" applyNumberFormat="1" applyFont="1" applyFill="1" applyBorder="1" applyAlignment="1" applyProtection="1">
      <alignment horizontal="center"/>
    </xf>
    <xf numFmtId="0" fontId="28" fillId="28" borderId="25" xfId="0" applyFont="1" applyFill="1" applyBorder="1" applyAlignment="1" applyProtection="1">
      <alignment horizontal="center"/>
    </xf>
    <xf numFmtId="0" fontId="28" fillId="28" borderId="14" xfId="0" applyFont="1" applyFill="1" applyBorder="1" applyAlignment="1" applyProtection="1">
      <alignment horizontal="left"/>
    </xf>
    <xf numFmtId="0" fontId="28" fillId="28" borderId="0" xfId="0" applyFont="1" applyFill="1" applyBorder="1" applyAlignment="1" applyProtection="1">
      <alignment horizontal="left"/>
    </xf>
    <xf numFmtId="0" fontId="35" fillId="28" borderId="0" xfId="0" applyFont="1" applyFill="1" applyBorder="1" applyAlignment="1" applyProtection="1">
      <alignment horizontal="left"/>
    </xf>
    <xf numFmtId="184" fontId="35" fillId="28" borderId="0" xfId="0" applyNumberFormat="1" applyFont="1" applyFill="1" applyBorder="1" applyAlignment="1" applyProtection="1">
      <alignment horizontal="left"/>
    </xf>
    <xf numFmtId="0" fontId="9" fillId="28" borderId="14" xfId="0" applyFont="1" applyFill="1" applyBorder="1" applyAlignment="1" applyProtection="1">
      <alignment horizontal="left"/>
    </xf>
    <xf numFmtId="0" fontId="9" fillId="28" borderId="0" xfId="0" applyFont="1" applyFill="1" applyBorder="1" applyAlignment="1" applyProtection="1">
      <alignment horizontal="left"/>
    </xf>
    <xf numFmtId="0" fontId="0" fillId="28" borderId="16" xfId="0" applyFill="1" applyBorder="1" applyProtection="1"/>
    <xf numFmtId="0" fontId="28" fillId="28" borderId="18" xfId="0" applyFont="1" applyFill="1" applyBorder="1" applyProtection="1"/>
    <xf numFmtId="0" fontId="28" fillId="28" borderId="0" xfId="0" applyFont="1" applyFill="1" applyBorder="1" applyProtection="1"/>
    <xf numFmtId="0" fontId="40" fillId="28" borderId="25" xfId="0" applyFont="1" applyFill="1" applyBorder="1" applyAlignment="1" applyProtection="1">
      <alignment horizontal="center"/>
    </xf>
    <xf numFmtId="0" fontId="9" fillId="28" borderId="0" xfId="0" applyFont="1" applyFill="1" applyBorder="1" applyProtection="1"/>
    <xf numFmtId="181" fontId="39" fillId="28" borderId="0" xfId="0" applyNumberFormat="1" applyFont="1" applyFill="1" applyBorder="1" applyProtection="1"/>
    <xf numFmtId="181" fontId="9" fillId="28" borderId="0" xfId="0" applyNumberFormat="1" applyFont="1" applyFill="1" applyBorder="1" applyProtection="1"/>
    <xf numFmtId="0" fontId="9" fillId="28" borderId="29" xfId="0" applyFont="1" applyFill="1" applyBorder="1" applyProtection="1"/>
    <xf numFmtId="165" fontId="39" fillId="28" borderId="5" xfId="0" applyNumberFormat="1" applyFont="1" applyFill="1" applyBorder="1" applyProtection="1"/>
    <xf numFmtId="39" fontId="9" fillId="28" borderId="0" xfId="0" applyNumberFormat="1" applyFont="1" applyFill="1" applyBorder="1" applyProtection="1"/>
    <xf numFmtId="165" fontId="28" fillId="28" borderId="0" xfId="0" applyNumberFormat="1" applyFont="1" applyFill="1" applyBorder="1" applyProtection="1"/>
    <xf numFmtId="165" fontId="39" fillId="28" borderId="0" xfId="0" applyNumberFormat="1" applyFont="1" applyFill="1" applyBorder="1" applyProtection="1"/>
    <xf numFmtId="0" fontId="36" fillId="28" borderId="29" xfId="0" applyFont="1" applyFill="1" applyBorder="1" applyProtection="1"/>
    <xf numFmtId="0" fontId="36" fillId="28" borderId="0" xfId="0" applyFont="1" applyFill="1" applyBorder="1" applyProtection="1"/>
    <xf numFmtId="0" fontId="9" fillId="28" borderId="5" xfId="0" applyFont="1" applyFill="1" applyBorder="1" applyProtection="1"/>
    <xf numFmtId="181" fontId="28" fillId="28" borderId="0" xfId="0" applyNumberFormat="1" applyFont="1" applyFill="1" applyBorder="1" applyProtection="1"/>
    <xf numFmtId="0" fontId="9" fillId="28" borderId="22" xfId="0" applyFont="1" applyFill="1" applyBorder="1" applyProtection="1"/>
    <xf numFmtId="0" fontId="9" fillId="28" borderId="15" xfId="0" applyFont="1" applyFill="1" applyBorder="1" applyProtection="1"/>
    <xf numFmtId="165" fontId="9" fillId="28" borderId="0" xfId="0" applyNumberFormat="1" applyFont="1" applyFill="1" applyBorder="1" applyProtection="1"/>
    <xf numFmtId="0" fontId="9" fillId="28" borderId="17" xfId="0" applyFont="1" applyFill="1" applyBorder="1" applyProtection="1"/>
    <xf numFmtId="0" fontId="51" fillId="26" borderId="0" xfId="0" applyFont="1" applyFill="1" applyProtection="1"/>
    <xf numFmtId="0" fontId="0" fillId="28" borderId="0" xfId="0" applyFill="1" applyBorder="1" applyProtection="1"/>
    <xf numFmtId="0" fontId="9" fillId="29" borderId="15" xfId="0" applyFont="1" applyFill="1" applyBorder="1" applyAlignment="1" applyProtection="1">
      <alignment horizontal="centerContinuous"/>
    </xf>
    <xf numFmtId="0" fontId="9" fillId="27" borderId="21" xfId="0" applyFont="1" applyFill="1" applyBorder="1" applyProtection="1"/>
    <xf numFmtId="0" fontId="51" fillId="27" borderId="21" xfId="0" applyFont="1" applyFill="1" applyBorder="1" applyProtection="1"/>
    <xf numFmtId="6" fontId="37" fillId="29" borderId="0" xfId="0" applyNumberFormat="1" applyFont="1" applyFill="1" applyBorder="1" applyAlignment="1" applyProtection="1">
      <alignment horizontal="centerContinuous"/>
    </xf>
    <xf numFmtId="0" fontId="5" fillId="29" borderId="0" xfId="0" applyFont="1" applyFill="1" applyBorder="1" applyAlignment="1" applyProtection="1">
      <alignment horizontal="centerContinuous"/>
    </xf>
    <xf numFmtId="0" fontId="5" fillId="29" borderId="15" xfId="0" applyFont="1" applyFill="1" applyBorder="1" applyAlignment="1" applyProtection="1">
      <alignment horizontal="centerContinuous"/>
    </xf>
    <xf numFmtId="6" fontId="52" fillId="28" borderId="19" xfId="0" applyNumberFormat="1" applyFont="1" applyFill="1" applyBorder="1" applyAlignment="1" applyProtection="1"/>
    <xf numFmtId="6" fontId="52" fillId="28" borderId="20" xfId="0" applyNumberFormat="1" applyFont="1" applyFill="1" applyBorder="1" applyAlignment="1" applyProtection="1"/>
    <xf numFmtId="0" fontId="52" fillId="28" borderId="20" xfId="0" applyFont="1" applyFill="1" applyBorder="1" applyAlignment="1" applyProtection="1">
      <alignment horizontal="center"/>
    </xf>
    <xf numFmtId="0" fontId="52" fillId="28" borderId="23" xfId="0" applyFont="1" applyFill="1" applyBorder="1" applyProtection="1"/>
    <xf numFmtId="0" fontId="52" fillId="28" borderId="20" xfId="0" applyFont="1" applyFill="1" applyBorder="1" applyProtection="1"/>
    <xf numFmtId="0" fontId="52" fillId="28" borderId="24" xfId="0" applyFont="1" applyFill="1" applyBorder="1" applyAlignment="1" applyProtection="1">
      <alignment horizontal="center"/>
    </xf>
    <xf numFmtId="0" fontId="51" fillId="28" borderId="21" xfId="0" applyFont="1" applyFill="1" applyBorder="1" applyProtection="1"/>
    <xf numFmtId="6" fontId="52" fillId="27" borderId="19" xfId="0" applyNumberFormat="1" applyFont="1" applyFill="1" applyBorder="1" applyAlignment="1" applyProtection="1"/>
    <xf numFmtId="6" fontId="52" fillId="27" borderId="20" xfId="0" applyNumberFormat="1" applyFont="1" applyFill="1" applyBorder="1" applyAlignment="1" applyProtection="1"/>
    <xf numFmtId="0" fontId="52" fillId="27" borderId="20" xfId="0" applyFont="1" applyFill="1" applyBorder="1" applyAlignment="1" applyProtection="1">
      <alignment horizontal="center"/>
    </xf>
    <xf numFmtId="0" fontId="44" fillId="27" borderId="23" xfId="0" applyFont="1" applyFill="1" applyBorder="1" applyProtection="1"/>
    <xf numFmtId="0" fontId="45" fillId="27" borderId="20" xfId="0" applyFont="1" applyFill="1" applyBorder="1" applyProtection="1"/>
    <xf numFmtId="0" fontId="44" fillId="27" borderId="24" xfId="0" applyFont="1" applyFill="1" applyBorder="1" applyAlignment="1" applyProtection="1">
      <alignment horizontal="center"/>
    </xf>
    <xf numFmtId="0" fontId="45" fillId="27" borderId="21" xfId="0" applyFont="1" applyFill="1" applyBorder="1" applyProtection="1"/>
    <xf numFmtId="14" fontId="9" fillId="30" borderId="47" xfId="0" applyNumberFormat="1" applyFont="1" applyFill="1" applyBorder="1" applyAlignment="1" applyProtection="1">
      <alignment horizontal="center"/>
      <protection locked="0"/>
    </xf>
    <xf numFmtId="14" fontId="9" fillId="30" borderId="49" xfId="0" applyNumberFormat="1" applyFont="1" applyFill="1" applyBorder="1" applyAlignment="1" applyProtection="1">
      <alignment horizontal="center"/>
      <protection locked="0"/>
    </xf>
    <xf numFmtId="1" fontId="9" fillId="30" borderId="49" xfId="0" applyNumberFormat="1" applyFont="1" applyFill="1" applyBorder="1" applyAlignment="1" applyProtection="1">
      <alignment horizontal="center"/>
      <protection locked="0"/>
    </xf>
    <xf numFmtId="0" fontId="37" fillId="29" borderId="23" xfId="0" applyFont="1" applyFill="1" applyBorder="1" applyAlignment="1" applyProtection="1">
      <alignment horizontal="centerContinuous"/>
    </xf>
    <xf numFmtId="0" fontId="37" fillId="29" borderId="24" xfId="0" applyFont="1" applyFill="1" applyBorder="1" applyAlignment="1" applyProtection="1">
      <alignment horizontal="centerContinuous"/>
    </xf>
    <xf numFmtId="0" fontId="9" fillId="32" borderId="14" xfId="0" applyFont="1" applyFill="1" applyBorder="1" applyAlignment="1" applyProtection="1">
      <alignment horizontal="left"/>
    </xf>
    <xf numFmtId="14" fontId="28" fillId="32" borderId="15" xfId="0" applyNumberFormat="1" applyFont="1" applyFill="1" applyBorder="1" applyAlignment="1" applyProtection="1">
      <alignment horizontal="center"/>
    </xf>
    <xf numFmtId="1" fontId="28" fillId="32" borderId="15" xfId="0" applyNumberFormat="1" applyFont="1" applyFill="1" applyBorder="1" applyAlignment="1" applyProtection="1">
      <alignment horizontal="center"/>
    </xf>
    <xf numFmtId="9" fontId="9" fillId="32" borderId="17" xfId="57" applyNumberFormat="1" applyFont="1" applyFill="1" applyBorder="1" applyProtection="1"/>
    <xf numFmtId="0" fontId="0" fillId="26" borderId="0" xfId="0" applyFill="1" applyProtection="1"/>
    <xf numFmtId="0" fontId="28" fillId="26" borderId="22" xfId="0" applyFont="1" applyFill="1" applyBorder="1" applyAlignment="1" applyProtection="1">
      <alignment horizontal="center"/>
    </xf>
    <xf numFmtId="6" fontId="37" fillId="29" borderId="14" xfId="0" applyNumberFormat="1" applyFont="1" applyFill="1" applyBorder="1" applyAlignment="1" applyProtection="1">
      <alignment horizontal="centerContinuous"/>
    </xf>
    <xf numFmtId="0" fontId="28" fillId="28" borderId="25" xfId="0" applyFont="1" applyFill="1" applyBorder="1" applyProtection="1"/>
    <xf numFmtId="0" fontId="35" fillId="28" borderId="14" xfId="0" applyFont="1" applyFill="1" applyBorder="1" applyAlignment="1" applyProtection="1">
      <alignment horizontal="left"/>
    </xf>
    <xf numFmtId="39" fontId="9" fillId="28" borderId="0" xfId="0" applyNumberFormat="1" applyFont="1" applyFill="1" applyBorder="1" applyAlignment="1" applyProtection="1"/>
    <xf numFmtId="39" fontId="28" fillId="28" borderId="0" xfId="0" applyNumberFormat="1" applyFont="1" applyFill="1" applyBorder="1" applyAlignment="1" applyProtection="1"/>
    <xf numFmtId="0" fontId="0" fillId="28" borderId="14" xfId="0" applyFill="1" applyBorder="1" applyProtection="1"/>
    <xf numFmtId="0" fontId="0" fillId="28" borderId="0" xfId="0" applyFill="1" applyBorder="1" applyAlignment="1" applyProtection="1">
      <alignment horizontal="center"/>
    </xf>
    <xf numFmtId="0" fontId="32" fillId="28" borderId="14" xfId="0" applyFont="1" applyFill="1" applyBorder="1" applyAlignment="1" applyProtection="1">
      <alignment horizontal="left"/>
    </xf>
    <xf numFmtId="37" fontId="9" fillId="28" borderId="0" xfId="0" applyNumberFormat="1" applyFont="1" applyFill="1" applyBorder="1" applyAlignment="1" applyProtection="1"/>
    <xf numFmtId="37" fontId="28" fillId="28" borderId="0" xfId="0" applyNumberFormat="1" applyFont="1" applyFill="1" applyBorder="1" applyAlignment="1" applyProtection="1"/>
    <xf numFmtId="184" fontId="32" fillId="28" borderId="14" xfId="0" applyNumberFormat="1" applyFont="1" applyFill="1" applyBorder="1" applyAlignment="1" applyProtection="1">
      <alignment horizontal="left"/>
    </xf>
    <xf numFmtId="0" fontId="0" fillId="28" borderId="22" xfId="0" applyFill="1" applyBorder="1" applyProtection="1"/>
    <xf numFmtId="6" fontId="44" fillId="28" borderId="19" xfId="0" applyNumberFormat="1" applyFont="1" applyFill="1" applyBorder="1" applyAlignment="1" applyProtection="1"/>
    <xf numFmtId="6" fontId="44" fillId="28" borderId="20" xfId="0" applyNumberFormat="1" applyFont="1" applyFill="1" applyBorder="1" applyAlignment="1" applyProtection="1"/>
    <xf numFmtId="0" fontId="44" fillId="28" borderId="20" xfId="0" applyFont="1" applyFill="1" applyBorder="1" applyAlignment="1" applyProtection="1">
      <alignment horizontal="center"/>
    </xf>
    <xf numFmtId="0" fontId="44" fillId="28" borderId="24" xfId="0" applyFont="1" applyFill="1" applyBorder="1" applyAlignment="1" applyProtection="1">
      <alignment horizontal="center"/>
    </xf>
    <xf numFmtId="0" fontId="0" fillId="28" borderId="22" xfId="0" applyFill="1" applyBorder="1" applyAlignment="1" applyProtection="1">
      <alignment horizontal="center"/>
    </xf>
    <xf numFmtId="0" fontId="0" fillId="26" borderId="0" xfId="0" applyFill="1" applyBorder="1" applyProtection="1"/>
    <xf numFmtId="0" fontId="43" fillId="0" borderId="14" xfId="0" applyFont="1" applyBorder="1" applyAlignment="1" applyProtection="1">
      <alignment horizontal="left"/>
    </xf>
    <xf numFmtId="0" fontId="0" fillId="32" borderId="0" xfId="0" applyFill="1" applyProtection="1"/>
    <xf numFmtId="0" fontId="0" fillId="0" borderId="0" xfId="0" applyProtection="1"/>
    <xf numFmtId="0" fontId="9" fillId="0" borderId="52" xfId="0" applyFont="1" applyBorder="1" applyProtection="1"/>
    <xf numFmtId="41" fontId="0" fillId="30" borderId="53" xfId="0" applyNumberFormat="1" applyFill="1" applyBorder="1" applyProtection="1">
      <protection locked="0"/>
    </xf>
    <xf numFmtId="0" fontId="9" fillId="0" borderId="54" xfId="0" applyFont="1" applyBorder="1" applyProtection="1"/>
    <xf numFmtId="44" fontId="0" fillId="30" borderId="55" xfId="68" applyFont="1" applyFill="1" applyBorder="1" applyProtection="1">
      <protection locked="0"/>
    </xf>
    <xf numFmtId="0" fontId="52" fillId="29" borderId="30" xfId="0" applyFont="1" applyFill="1" applyBorder="1" applyProtection="1"/>
    <xf numFmtId="0" fontId="9" fillId="0" borderId="39" xfId="0" applyFont="1" applyBorder="1" applyAlignment="1" applyProtection="1">
      <alignment horizontal="center"/>
    </xf>
    <xf numFmtId="0" fontId="9" fillId="0" borderId="40" xfId="0" applyFont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/>
    </xf>
    <xf numFmtId="0" fontId="34" fillId="0" borderId="30" xfId="0" applyFont="1" applyBorder="1" applyProtection="1"/>
    <xf numFmtId="0" fontId="34" fillId="0" borderId="27" xfId="0" applyFont="1" applyBorder="1" applyAlignment="1" applyProtection="1">
      <alignment horizontal="center"/>
    </xf>
    <xf numFmtId="0" fontId="34" fillId="0" borderId="26" xfId="0" applyFont="1" applyBorder="1" applyAlignment="1" applyProtection="1">
      <alignment horizontal="center"/>
    </xf>
    <xf numFmtId="0" fontId="34" fillId="0" borderId="28" xfId="0" applyFont="1" applyBorder="1" applyAlignment="1" applyProtection="1">
      <alignment horizontal="center"/>
    </xf>
    <xf numFmtId="0" fontId="34" fillId="32" borderId="0" xfId="0" applyFont="1" applyFill="1" applyProtection="1"/>
    <xf numFmtId="0" fontId="9" fillId="0" borderId="29" xfId="0" applyFont="1" applyBorder="1" applyProtection="1"/>
    <xf numFmtId="186" fontId="0" fillId="0" borderId="42" xfId="0" applyNumberFormat="1" applyBorder="1" applyAlignment="1" applyProtection="1">
      <alignment horizontal="center"/>
    </xf>
    <xf numFmtId="186" fontId="0" fillId="0" borderId="31" xfId="0" applyNumberFormat="1" applyBorder="1" applyAlignment="1" applyProtection="1">
      <alignment horizontal="center"/>
    </xf>
    <xf numFmtId="186" fontId="0" fillId="0" borderId="32" xfId="0" applyNumberFormat="1" applyBorder="1" applyAlignment="1" applyProtection="1">
      <alignment horizontal="center"/>
    </xf>
    <xf numFmtId="0" fontId="9" fillId="0" borderId="44" xfId="0" applyFont="1" applyBorder="1" applyProtection="1"/>
    <xf numFmtId="41" fontId="0" fillId="0" borderId="0" xfId="0" applyNumberFormat="1" applyBorder="1" applyAlignment="1" applyProtection="1">
      <alignment horizontal="center"/>
    </xf>
    <xf numFmtId="188" fontId="0" fillId="0" borderId="0" xfId="0" applyNumberFormat="1" applyBorder="1" applyAlignment="1" applyProtection="1">
      <alignment horizontal="center"/>
    </xf>
    <xf numFmtId="41" fontId="9" fillId="0" borderId="14" xfId="0" applyNumberFormat="1" applyFont="1" applyBorder="1" applyAlignment="1" applyProtection="1">
      <alignment horizontal="center"/>
    </xf>
    <xf numFmtId="186" fontId="0" fillId="0" borderId="15" xfId="68" applyNumberFormat="1" applyFont="1" applyBorder="1" applyAlignment="1" applyProtection="1">
      <alignment horizontal="center"/>
    </xf>
    <xf numFmtId="41" fontId="0" fillId="0" borderId="19" xfId="0" applyNumberFormat="1" applyBorder="1" applyAlignment="1" applyProtection="1">
      <alignment horizontal="center"/>
    </xf>
    <xf numFmtId="188" fontId="0" fillId="0" borderId="21" xfId="0" applyNumberFormat="1" applyBorder="1" applyAlignment="1" applyProtection="1">
      <alignment horizontal="center"/>
    </xf>
    <xf numFmtId="41" fontId="9" fillId="0" borderId="19" xfId="0" applyNumberFormat="1" applyFont="1" applyBorder="1" applyAlignment="1" applyProtection="1">
      <alignment horizontal="center"/>
    </xf>
    <xf numFmtId="186" fontId="0" fillId="0" borderId="21" xfId="0" applyNumberFormat="1" applyBorder="1" applyAlignment="1" applyProtection="1">
      <alignment horizontal="center"/>
    </xf>
    <xf numFmtId="9" fontId="0" fillId="30" borderId="55" xfId="0" applyNumberFormat="1" applyFill="1" applyBorder="1" applyProtection="1">
      <protection locked="0"/>
    </xf>
    <xf numFmtId="0" fontId="9" fillId="0" borderId="18" xfId="0" applyFont="1" applyBorder="1" applyProtection="1"/>
    <xf numFmtId="186" fontId="0" fillId="0" borderId="34" xfId="0" applyNumberFormat="1" applyBorder="1" applyAlignment="1" applyProtection="1">
      <alignment horizontal="center"/>
    </xf>
    <xf numFmtId="186" fontId="0" fillId="0" borderId="12" xfId="0" applyNumberFormat="1" applyBorder="1" applyAlignment="1" applyProtection="1">
      <alignment horizontal="center"/>
    </xf>
    <xf numFmtId="186" fontId="0" fillId="0" borderId="33" xfId="0" applyNumberFormat="1" applyBorder="1" applyAlignment="1" applyProtection="1">
      <alignment horizontal="center"/>
    </xf>
    <xf numFmtId="0" fontId="9" fillId="0" borderId="43" xfId="0" applyFont="1" applyBorder="1" applyProtection="1"/>
    <xf numFmtId="41" fontId="0" fillId="0" borderId="14" xfId="0" applyNumberFormat="1" applyBorder="1" applyAlignment="1" applyProtection="1">
      <alignment horizontal="center"/>
    </xf>
    <xf numFmtId="188" fontId="0" fillId="0" borderId="15" xfId="0" applyNumberFormat="1" applyBorder="1" applyAlignment="1" applyProtection="1">
      <alignment horizontal="center"/>
    </xf>
    <xf numFmtId="186" fontId="0" fillId="0" borderId="15" xfId="0" applyNumberFormat="1" applyBorder="1" applyAlignment="1" applyProtection="1">
      <alignment horizontal="center"/>
    </xf>
    <xf numFmtId="41" fontId="0" fillId="30" borderId="55" xfId="0" applyNumberFormat="1" applyFill="1" applyBorder="1" applyProtection="1">
      <protection locked="0"/>
    </xf>
    <xf numFmtId="0" fontId="9" fillId="0" borderId="38" xfId="0" applyFont="1" applyBorder="1" applyProtection="1"/>
    <xf numFmtId="186" fontId="0" fillId="0" borderId="35" xfId="0" applyNumberFormat="1" applyBorder="1" applyAlignment="1" applyProtection="1">
      <alignment horizontal="center"/>
    </xf>
    <xf numFmtId="186" fontId="0" fillId="0" borderId="36" xfId="0" applyNumberFormat="1" applyBorder="1" applyAlignment="1" applyProtection="1">
      <alignment horizontal="center"/>
    </xf>
    <xf numFmtId="186" fontId="0" fillId="0" borderId="37" xfId="0" applyNumberFormat="1" applyBorder="1" applyAlignment="1" applyProtection="1">
      <alignment horizontal="center"/>
    </xf>
    <xf numFmtId="0" fontId="9" fillId="0" borderId="45" xfId="0" applyFont="1" applyBorder="1" applyProtection="1"/>
    <xf numFmtId="41" fontId="0" fillId="0" borderId="22" xfId="0" applyNumberFormat="1" applyBorder="1" applyAlignment="1" applyProtection="1">
      <alignment horizontal="center"/>
    </xf>
    <xf numFmtId="188" fontId="0" fillId="0" borderId="22" xfId="0" applyNumberFormat="1" applyBorder="1" applyAlignment="1" applyProtection="1">
      <alignment horizontal="center"/>
    </xf>
    <xf numFmtId="41" fontId="9" fillId="0" borderId="16" xfId="0" applyNumberFormat="1" applyFont="1" applyBorder="1" applyAlignment="1" applyProtection="1">
      <alignment horizontal="center"/>
    </xf>
    <xf numFmtId="186" fontId="0" fillId="0" borderId="17" xfId="68" applyNumberFormat="1" applyFont="1" applyBorder="1" applyAlignment="1" applyProtection="1">
      <alignment horizontal="center"/>
    </xf>
    <xf numFmtId="41" fontId="0" fillId="0" borderId="16" xfId="0" applyNumberFormat="1" applyBorder="1" applyAlignment="1" applyProtection="1">
      <alignment horizontal="center"/>
    </xf>
    <xf numFmtId="188" fontId="0" fillId="0" borderId="17" xfId="0" applyNumberFormat="1" applyBorder="1" applyAlignment="1" applyProtection="1">
      <alignment horizontal="center"/>
    </xf>
    <xf numFmtId="186" fontId="0" fillId="0" borderId="17" xfId="0" applyNumberFormat="1" applyBorder="1" applyAlignment="1" applyProtection="1">
      <alignment horizontal="center"/>
    </xf>
    <xf numFmtId="0" fontId="9" fillId="0" borderId="56" xfId="0" applyFont="1" applyBorder="1" applyProtection="1"/>
    <xf numFmtId="186" fontId="0" fillId="30" borderId="57" xfId="68" applyNumberFormat="1" applyFont="1" applyFill="1" applyBorder="1" applyProtection="1">
      <protection locked="0"/>
    </xf>
    <xf numFmtId="0" fontId="9" fillId="0" borderId="30" xfId="0" applyFont="1" applyBorder="1" applyProtection="1"/>
    <xf numFmtId="0" fontId="0" fillId="31" borderId="27" xfId="0" applyFill="1" applyBorder="1" applyAlignment="1" applyProtection="1">
      <alignment horizontal="center"/>
    </xf>
    <xf numFmtId="186" fontId="0" fillId="31" borderId="28" xfId="0" applyNumberFormat="1" applyFill="1" applyBorder="1" applyAlignment="1" applyProtection="1">
      <alignment horizontal="center"/>
    </xf>
    <xf numFmtId="186" fontId="51" fillId="29" borderId="28" xfId="0" applyNumberFormat="1" applyFont="1" applyFill="1" applyBorder="1" applyAlignment="1" applyProtection="1">
      <alignment horizontal="center"/>
    </xf>
    <xf numFmtId="186" fontId="0" fillId="32" borderId="15" xfId="68" applyNumberFormat="1" applyFont="1" applyFill="1" applyBorder="1" applyProtection="1"/>
    <xf numFmtId="0" fontId="9" fillId="32" borderId="0" xfId="0" applyFont="1" applyFill="1" applyProtection="1"/>
    <xf numFmtId="186" fontId="0" fillId="32" borderId="0" xfId="0" applyNumberFormat="1" applyFill="1" applyProtection="1"/>
    <xf numFmtId="186" fontId="0" fillId="0" borderId="55" xfId="68" applyNumberFormat="1" applyFont="1" applyBorder="1" applyProtection="1"/>
    <xf numFmtId="0" fontId="9" fillId="0" borderId="58" xfId="0" applyFont="1" applyBorder="1" applyProtection="1"/>
    <xf numFmtId="188" fontId="0" fillId="0" borderId="59" xfId="0" applyNumberFormat="1" applyBorder="1" applyProtection="1"/>
    <xf numFmtId="0" fontId="0" fillId="0" borderId="0" xfId="0" applyFill="1" applyProtection="1"/>
    <xf numFmtId="0" fontId="9" fillId="0" borderId="46" xfId="0" applyFont="1" applyFill="1" applyBorder="1" applyAlignment="1" applyProtection="1">
      <alignment horizontal="left"/>
    </xf>
    <xf numFmtId="0" fontId="0" fillId="0" borderId="48" xfId="0" applyBorder="1" applyProtection="1"/>
    <xf numFmtId="165" fontId="9" fillId="30" borderId="49" xfId="29" applyNumberFormat="1" applyFont="1" applyFill="1" applyBorder="1" applyAlignment="1" applyProtection="1">
      <alignment horizontal="center"/>
      <protection locked="0"/>
    </xf>
    <xf numFmtId="187" fontId="9" fillId="30" borderId="49" xfId="68" applyNumberFormat="1" applyFont="1" applyFill="1" applyBorder="1" applyAlignment="1" applyProtection="1">
      <alignment horizontal="center"/>
      <protection locked="0"/>
    </xf>
    <xf numFmtId="164" fontId="9" fillId="30" borderId="49" xfId="0" applyNumberFormat="1" applyFont="1" applyFill="1" applyBorder="1" applyAlignment="1" applyProtection="1">
      <alignment horizontal="center"/>
      <protection locked="0"/>
    </xf>
    <xf numFmtId="0" fontId="9" fillId="0" borderId="50" xfId="0" applyFont="1" applyBorder="1" applyProtection="1"/>
    <xf numFmtId="9" fontId="31" fillId="0" borderId="51" xfId="57" applyNumberFormat="1" applyFont="1" applyBorder="1" applyProtection="1"/>
    <xf numFmtId="0" fontId="51" fillId="29" borderId="26" xfId="0" applyFont="1" applyFill="1" applyBorder="1" applyAlignment="1" applyProtection="1">
      <alignment horizontal="center"/>
    </xf>
    <xf numFmtId="0" fontId="51" fillId="29" borderId="27" xfId="0" applyFont="1" applyFill="1" applyBorder="1" applyAlignment="1" applyProtection="1">
      <alignment horizontal="center"/>
    </xf>
    <xf numFmtId="0" fontId="37" fillId="29" borderId="26" xfId="0" applyFont="1" applyFill="1" applyBorder="1" applyAlignment="1" applyProtection="1">
      <alignment horizontal="center"/>
    </xf>
    <xf numFmtId="0" fontId="37" fillId="29" borderId="28" xfId="0" applyFont="1" applyFill="1" applyBorder="1" applyAlignment="1" applyProtection="1">
      <alignment horizontal="center"/>
    </xf>
    <xf numFmtId="0" fontId="34" fillId="27" borderId="19" xfId="0" applyFont="1" applyFill="1" applyBorder="1" applyAlignment="1" applyProtection="1">
      <alignment horizontal="center"/>
    </xf>
    <xf numFmtId="0" fontId="34" fillId="27" borderId="21" xfId="0" applyFont="1" applyFill="1" applyBorder="1" applyAlignment="1" applyProtection="1">
      <alignment horizontal="center"/>
    </xf>
    <xf numFmtId="0" fontId="9" fillId="31" borderId="26" xfId="0" applyFont="1" applyFill="1" applyBorder="1" applyAlignment="1" applyProtection="1">
      <alignment horizontal="center"/>
    </xf>
    <xf numFmtId="0" fontId="9" fillId="31" borderId="27" xfId="0" applyFont="1" applyFill="1" applyBorder="1" applyAlignment="1" applyProtection="1">
      <alignment horizontal="center"/>
    </xf>
    <xf numFmtId="0" fontId="9" fillId="31" borderId="28" xfId="0" applyFont="1" applyFill="1" applyBorder="1" applyAlignment="1" applyProtection="1">
      <alignment horizontal="center"/>
    </xf>
    <xf numFmtId="0" fontId="51" fillId="29" borderId="26" xfId="0" applyFont="1" applyFill="1" applyBorder="1" applyAlignment="1" applyProtection="1">
      <alignment horizontal="center"/>
    </xf>
    <xf numFmtId="0" fontId="51" fillId="29" borderId="27" xfId="0" applyFont="1" applyFill="1" applyBorder="1" applyAlignment="1" applyProtection="1">
      <alignment horizontal="center"/>
    </xf>
    <xf numFmtId="0" fontId="51" fillId="29" borderId="28" xfId="0" applyFont="1" applyFill="1" applyBorder="1" applyAlignment="1" applyProtection="1">
      <alignment horizontal="center"/>
    </xf>
    <xf numFmtId="0" fontId="34" fillId="28" borderId="14" xfId="0" applyFont="1" applyFill="1" applyBorder="1" applyAlignment="1" applyProtection="1">
      <alignment horizontal="center"/>
    </xf>
    <xf numFmtId="0" fontId="34" fillId="28" borderId="15" xfId="0" applyFont="1" applyFill="1" applyBorder="1" applyAlignment="1" applyProtection="1">
      <alignment horizontal="center"/>
    </xf>
    <xf numFmtId="6" fontId="37" fillId="29" borderId="16" xfId="0" applyNumberFormat="1" applyFont="1" applyFill="1" applyBorder="1" applyAlignment="1" applyProtection="1">
      <alignment horizontal="center"/>
    </xf>
    <xf numFmtId="6" fontId="37" fillId="29" borderId="17" xfId="0" applyNumberFormat="1" applyFont="1" applyFill="1" applyBorder="1" applyAlignment="1" applyProtection="1">
      <alignment horizontal="center"/>
    </xf>
    <xf numFmtId="0" fontId="37" fillId="29" borderId="19" xfId="0" applyFont="1" applyFill="1" applyBorder="1" applyAlignment="1" applyProtection="1">
      <alignment horizontal="center"/>
    </xf>
    <xf numFmtId="0" fontId="37" fillId="29" borderId="21" xfId="0" applyFont="1" applyFill="1" applyBorder="1" applyAlignment="1" applyProtection="1">
      <alignment horizontal="center"/>
    </xf>
    <xf numFmtId="0" fontId="37" fillId="29" borderId="20" xfId="0" applyFont="1" applyFill="1" applyBorder="1" applyAlignment="1" applyProtection="1">
      <alignment horizontal="center"/>
    </xf>
  </cellXfs>
  <cellStyles count="69">
    <cellStyle name="10Q" xfId="1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29" builtinId="3"/>
    <cellStyle name="Currency" xfId="68" builtinId="4"/>
    <cellStyle name="Currency--" xfId="30"/>
    <cellStyle name="Currency 2" xfId="31"/>
    <cellStyle name="Date [mm-dd-yy]" xfId="32"/>
    <cellStyle name="Date [mm-dd-yyyy]" xfId="33"/>
    <cellStyle name="Date [mm-d-yyyy]" xfId="34"/>
    <cellStyle name="Date [mmm-yyyy]" xfId="35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m/d/yy" xfId="44"/>
    <cellStyle name="Neutral" xfId="45" builtinId="28" customBuiltin="1"/>
    <cellStyle name="Normal" xfId="0" builtinId="0"/>
    <cellStyle name="Normal--" xfId="46"/>
    <cellStyle name="Normal [0]" xfId="47"/>
    <cellStyle name="Normal [1]" xfId="48"/>
    <cellStyle name="Normal [3]" xfId="49"/>
    <cellStyle name="Normal [3] 2" xfId="50"/>
    <cellStyle name="Normal 2" xfId="51"/>
    <cellStyle name="Normal 3" xfId="52"/>
    <cellStyle name="Normal 4" xfId="66"/>
    <cellStyle name="Normal 5" xfId="67"/>
    <cellStyle name="Normal 9" xfId="53"/>
    <cellStyle name="Normalx" xfId="54"/>
    <cellStyle name="Note" xfId="55" builtinId="10" customBuiltin="1"/>
    <cellStyle name="Output" xfId="56" builtinId="21" customBuiltin="1"/>
    <cellStyle name="Percent" xfId="57" builtinId="5"/>
    <cellStyle name="Percent [1]" xfId="58"/>
    <cellStyle name="Percent [2]" xfId="59"/>
    <cellStyle name="Percent 2" xfId="60"/>
    <cellStyle name="Red font" xfId="61"/>
    <cellStyle name="Times" xfId="62"/>
    <cellStyle name="Title" xfId="63" builtinId="15" customBuiltin="1"/>
    <cellStyle name="Total" xfId="64" builtinId="25" customBuiltin="1"/>
    <cellStyle name="Warning Text" xfId="65" builtinId="11" customBuiltin="1"/>
  </cellStyles>
  <dxfs count="0"/>
  <tableStyles count="0" defaultTableStyle="TableStyleMedium9" defaultPivotStyle="PivotStyleLight16"/>
  <colors>
    <mruColors>
      <color rgb="FF33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33CC"/>
  </sheetPr>
  <dimension ref="A1:T28"/>
  <sheetViews>
    <sheetView showGridLines="0" tabSelected="1" workbookViewId="0"/>
  </sheetViews>
  <sheetFormatPr defaultRowHeight="12.75" x14ac:dyDescent="0.2"/>
  <cols>
    <col min="1" max="1" width="2.85546875" style="256" customWidth="1"/>
    <col min="2" max="2" width="35.85546875" style="195" bestFit="1" customWidth="1"/>
    <col min="3" max="3" width="9.140625" style="195" bestFit="1" customWidth="1"/>
    <col min="4" max="4" width="2.85546875" style="195" customWidth="1"/>
    <col min="5" max="5" width="31.7109375" style="195" bestFit="1" customWidth="1"/>
    <col min="6" max="6" width="11.42578125" style="195" bestFit="1" customWidth="1"/>
    <col min="7" max="7" width="9.7109375" style="195" bestFit="1" customWidth="1"/>
    <col min="8" max="8" width="10.28515625" style="195" bestFit="1" customWidth="1"/>
    <col min="9" max="9" width="2" style="195" customWidth="1"/>
    <col min="10" max="10" width="26.7109375" style="195" bestFit="1" customWidth="1"/>
    <col min="11" max="11" width="5.140625" style="195" bestFit="1" customWidth="1"/>
    <col min="12" max="12" width="5.7109375" style="195" bestFit="1" customWidth="1"/>
    <col min="13" max="13" width="6.7109375" style="195" bestFit="1" customWidth="1"/>
    <col min="14" max="14" width="9.7109375" style="195" bestFit="1" customWidth="1"/>
    <col min="15" max="15" width="2.5703125" style="195" customWidth="1"/>
    <col min="16" max="16" width="5.140625" style="195" bestFit="1" customWidth="1"/>
    <col min="17" max="17" width="5.7109375" style="195" bestFit="1" customWidth="1"/>
    <col min="18" max="18" width="6.7109375" style="195" bestFit="1" customWidth="1"/>
    <col min="19" max="19" width="8.7109375" style="195" bestFit="1" customWidth="1"/>
    <col min="20" max="16384" width="9.140625" style="195"/>
  </cols>
  <sheetData>
    <row r="1" spans="1:20" ht="13.5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ht="13.5" thickBot="1" x14ac:dyDescent="0.25">
      <c r="A2" s="194"/>
      <c r="B2" s="266" t="s">
        <v>118</v>
      </c>
      <c r="C2" s="267"/>
      <c r="D2" s="194"/>
      <c r="E2" s="194"/>
      <c r="F2" s="194"/>
      <c r="G2" s="194"/>
      <c r="H2" s="194"/>
      <c r="I2" s="194"/>
      <c r="J2" s="194"/>
      <c r="K2" s="270" t="s">
        <v>114</v>
      </c>
      <c r="L2" s="271"/>
      <c r="M2" s="271"/>
      <c r="N2" s="272"/>
      <c r="O2" s="194"/>
      <c r="P2" s="273" t="s">
        <v>104</v>
      </c>
      <c r="Q2" s="274"/>
      <c r="R2" s="274"/>
      <c r="S2" s="275"/>
      <c r="T2" s="194"/>
    </row>
    <row r="3" spans="1:20" ht="13.5" thickBot="1" x14ac:dyDescent="0.25">
      <c r="A3" s="194"/>
      <c r="B3" s="196" t="s">
        <v>83</v>
      </c>
      <c r="C3" s="197">
        <v>680000</v>
      </c>
      <c r="D3" s="194"/>
      <c r="E3" s="194"/>
      <c r="F3" s="194"/>
      <c r="G3" s="194"/>
      <c r="H3" s="194"/>
      <c r="I3" s="194"/>
      <c r="J3" s="194"/>
      <c r="K3" s="270" t="s">
        <v>116</v>
      </c>
      <c r="L3" s="272"/>
      <c r="M3" s="270" t="s">
        <v>115</v>
      </c>
      <c r="N3" s="272"/>
      <c r="O3" s="194"/>
      <c r="P3" s="273" t="s">
        <v>116</v>
      </c>
      <c r="Q3" s="275"/>
      <c r="R3" s="273" t="s">
        <v>115</v>
      </c>
      <c r="S3" s="275"/>
      <c r="T3" s="194"/>
    </row>
    <row r="4" spans="1:20" ht="13.5" thickBot="1" x14ac:dyDescent="0.25">
      <c r="A4" s="194"/>
      <c r="B4" s="198" t="s">
        <v>94</v>
      </c>
      <c r="C4" s="199">
        <v>13.5</v>
      </c>
      <c r="D4" s="194"/>
      <c r="E4" s="200" t="s">
        <v>120</v>
      </c>
      <c r="F4" s="201" t="s">
        <v>103</v>
      </c>
      <c r="G4" s="202" t="s">
        <v>104</v>
      </c>
      <c r="H4" s="203" t="s">
        <v>109</v>
      </c>
      <c r="I4" s="194"/>
      <c r="J4" s="204" t="s">
        <v>117</v>
      </c>
      <c r="K4" s="205" t="s">
        <v>85</v>
      </c>
      <c r="L4" s="205" t="s">
        <v>89</v>
      </c>
      <c r="M4" s="206" t="s">
        <v>102</v>
      </c>
      <c r="N4" s="207" t="s">
        <v>100</v>
      </c>
      <c r="O4" s="208"/>
      <c r="P4" s="206" t="s">
        <v>85</v>
      </c>
      <c r="Q4" s="207" t="s">
        <v>89</v>
      </c>
      <c r="R4" s="206" t="s">
        <v>102</v>
      </c>
      <c r="S4" s="207" t="s">
        <v>100</v>
      </c>
      <c r="T4" s="194"/>
    </row>
    <row r="5" spans="1:20" x14ac:dyDescent="0.2">
      <c r="A5" s="194"/>
      <c r="B5" s="198" t="s">
        <v>95</v>
      </c>
      <c r="C5" s="199">
        <v>15</v>
      </c>
      <c r="D5" s="194"/>
      <c r="E5" s="209" t="s">
        <v>108</v>
      </c>
      <c r="F5" s="210">
        <f>SUM(Input_Calc_Costs_Conv)</f>
        <v>103544.39333333333</v>
      </c>
      <c r="G5" s="211">
        <f>SUM(Input_Calc_Costs_PRD)</f>
        <v>64872.971428571429</v>
      </c>
      <c r="H5" s="212">
        <f>F5-G5</f>
        <v>38671.421904761897</v>
      </c>
      <c r="I5" s="194"/>
      <c r="J5" s="213" t="s">
        <v>90</v>
      </c>
      <c r="K5" s="214">
        <f>190+(200*0.6)</f>
        <v>310</v>
      </c>
      <c r="L5" s="215">
        <f>ROUND(K5/27.8,1)</f>
        <v>11.2</v>
      </c>
      <c r="M5" s="216">
        <f>Input_PalletsPerYear*(L5/3600)</f>
        <v>2115.5555555555557</v>
      </c>
      <c r="N5" s="217">
        <f>Input_PalletsPerYear*(L5/3600)*(Input_PayRate_Selector*(1+Input_PayRate_BenefitLoad))</f>
        <v>40840.800000000003</v>
      </c>
      <c r="O5" s="194"/>
      <c r="P5" s="218">
        <v>280</v>
      </c>
      <c r="Q5" s="219">
        <f>ROUND(P5/27.8,1)</f>
        <v>10.1</v>
      </c>
      <c r="R5" s="220">
        <f>Input_PalletsPerYear*(Q5/3600)</f>
        <v>1907.7777777777778</v>
      </c>
      <c r="S5" s="221">
        <f>Input_PalletsPerYear*(Q5/3600)*(Input_PayRate_Selector*(1+Input_PayRate_BenefitLoad))</f>
        <v>36829.65</v>
      </c>
      <c r="T5" s="194"/>
    </row>
    <row r="6" spans="1:20" x14ac:dyDescent="0.2">
      <c r="A6" s="194"/>
      <c r="B6" s="198" t="s">
        <v>84</v>
      </c>
      <c r="C6" s="222">
        <v>0.43</v>
      </c>
      <c r="D6" s="194"/>
      <c r="E6" s="223" t="s">
        <v>106</v>
      </c>
      <c r="F6" s="224">
        <f>Input_Calc_LostTimeInjuries*Input_Costs_Injury_Direct</f>
        <v>112927.59999999999</v>
      </c>
      <c r="G6" s="225">
        <v>0</v>
      </c>
      <c r="H6" s="226">
        <f>F6-G6</f>
        <v>112927.59999999999</v>
      </c>
      <c r="I6" s="194"/>
      <c r="J6" s="227" t="s">
        <v>91</v>
      </c>
      <c r="K6" s="214">
        <v>210</v>
      </c>
      <c r="L6" s="215">
        <f>ROUND(K6/27.8,1)</f>
        <v>7.6</v>
      </c>
      <c r="M6" s="216">
        <f>Input_PalletsPerYear*(L6/3600)/Input_PalletsPerStack</f>
        <v>287.11111111111109</v>
      </c>
      <c r="N6" s="217">
        <f>(Input_PalletsPerYear/Input_PalletsPerStack)*(L6/3600)*(Input_PayRate_Selector*(1+Input_PayRate_BenefitLoad))</f>
        <v>5542.6799999999994</v>
      </c>
      <c r="O6" s="194"/>
      <c r="P6" s="228">
        <v>430</v>
      </c>
      <c r="Q6" s="229">
        <f>ROUND(P6/27.8,1)</f>
        <v>15.5</v>
      </c>
      <c r="R6" s="216">
        <f>Input_PalletsPerYear*(Q6/3600)/7</f>
        <v>418.25396825396825</v>
      </c>
      <c r="S6" s="230">
        <f>(Input_PalletsPerYear/7)*(Q6/3600)*(Input_PayRate_Selector*(1+Input_PayRate_BenefitLoad))</f>
        <v>8074.3928571428569</v>
      </c>
      <c r="T6" s="194"/>
    </row>
    <row r="7" spans="1:20" x14ac:dyDescent="0.2">
      <c r="A7" s="194"/>
      <c r="B7" s="198" t="s">
        <v>96</v>
      </c>
      <c r="C7" s="231">
        <v>5</v>
      </c>
      <c r="D7" s="194"/>
      <c r="E7" s="223" t="s">
        <v>107</v>
      </c>
      <c r="F7" s="224">
        <f>Input_Calc_LostTimeInjuries*Input_Costs_Injury_Indirect</f>
        <v>55426.8</v>
      </c>
      <c r="G7" s="225">
        <v>0</v>
      </c>
      <c r="H7" s="226">
        <f>F7-G7</f>
        <v>55426.8</v>
      </c>
      <c r="I7" s="194"/>
      <c r="J7" s="227" t="s">
        <v>86</v>
      </c>
      <c r="K7" s="214">
        <v>960</v>
      </c>
      <c r="L7" s="215">
        <f>ROUND(K7/27.8,1)</f>
        <v>34.5</v>
      </c>
      <c r="M7" s="216">
        <f>Input_PalletsPerYear*(L7/3600)/Input_PalletsPerStack</f>
        <v>1303.3333333333333</v>
      </c>
      <c r="N7" s="217">
        <f>(Input_PalletsPerYear/Input_PalletsPerStack)*(L7/3600)*(Input_PayRate_Operator*(1+Input_PayRate_BenefitLoad))</f>
        <v>27956.499999999996</v>
      </c>
      <c r="O7" s="194"/>
      <c r="P7" s="228">
        <v>960</v>
      </c>
      <c r="Q7" s="229">
        <f>ROUND(P7/27.8,1)</f>
        <v>34.5</v>
      </c>
      <c r="R7" s="216">
        <f>Input_PalletsPerYear*(Q7/3600)/7</f>
        <v>930.95238095238085</v>
      </c>
      <c r="S7" s="230">
        <f>(Input_PalletsPerYear/7)*(Q7/3600)*(Input_PayRate_Operator*(1+Input_PayRate_BenefitLoad))</f>
        <v>19968.928571428569</v>
      </c>
      <c r="T7" s="194"/>
    </row>
    <row r="8" spans="1:20" x14ac:dyDescent="0.2">
      <c r="A8" s="194"/>
      <c r="B8" s="198" t="s">
        <v>97</v>
      </c>
      <c r="C8" s="222">
        <v>0.53</v>
      </c>
      <c r="D8" s="194"/>
      <c r="E8" s="223" t="s">
        <v>110</v>
      </c>
      <c r="F8" s="224">
        <f>IF(Input_Conv_Cost=0,0,1)*Input_PRD_Qty*0.5*(50*(1+Input_PayRate_BenefitLoad))</f>
        <v>7150</v>
      </c>
      <c r="G8" s="225">
        <f>Input_PRD_Qty*0.5*(50*(1+Input_PayRate_BenefitLoad))</f>
        <v>7150</v>
      </c>
      <c r="H8" s="226">
        <f>F8-G8</f>
        <v>0</v>
      </c>
      <c r="I8" s="194"/>
      <c r="J8" s="227" t="s">
        <v>87</v>
      </c>
      <c r="K8" s="214">
        <v>960</v>
      </c>
      <c r="L8" s="215">
        <f>ROUND(K8/27.8,1)</f>
        <v>34.5</v>
      </c>
      <c r="M8" s="216">
        <f>Input_PalletsPerYear*(L8/3600)/Input_PalletsPerStack*Input_PalletsNeedAdjPCT</f>
        <v>690.76666666666665</v>
      </c>
      <c r="N8" s="217">
        <f>(Input_PalletsPerYear/Input_PalletsPerStack)*(L8/3600)*(Input_PayRate_Operator*(1+Input_PayRate_BenefitLoad))*Input_PalletsNeedAdjPCT</f>
        <v>14816.945</v>
      </c>
      <c r="O8" s="194"/>
      <c r="P8" s="228">
        <v>0</v>
      </c>
      <c r="Q8" s="229">
        <f>ROUND(P8/27.8,1)</f>
        <v>0</v>
      </c>
      <c r="R8" s="216">
        <f>Input_PalletsPerYear*(Q8/3600)/Input_PalletsPerStack*Input_PalletsNeedAdjPCT</f>
        <v>0</v>
      </c>
      <c r="S8" s="230">
        <f>(Input_PalletsPerYear/7)*(Q8/3600)*(Input_PayRate_Operator*(1+Input_PayRate_BenefitLoad))*Input_PalletsNeedAdjPCT</f>
        <v>0</v>
      </c>
      <c r="T8" s="194"/>
    </row>
    <row r="9" spans="1:20" ht="13.5" thickBot="1" x14ac:dyDescent="0.25">
      <c r="A9" s="194"/>
      <c r="B9" s="198" t="s">
        <v>113</v>
      </c>
      <c r="C9" s="231">
        <v>200</v>
      </c>
      <c r="D9" s="194"/>
      <c r="E9" s="232" t="s">
        <v>111</v>
      </c>
      <c r="F9" s="233">
        <f>Input_Conv_Cost*Input_PRD_Qty</f>
        <v>170000</v>
      </c>
      <c r="G9" s="234">
        <f>Input_PRD_Qty*Input_PRD_Cost</f>
        <v>600000</v>
      </c>
      <c r="H9" s="235">
        <f>F9-G9</f>
        <v>-430000</v>
      </c>
      <c r="I9" s="194"/>
      <c r="J9" s="236" t="s">
        <v>88</v>
      </c>
      <c r="K9" s="237">
        <v>930</v>
      </c>
      <c r="L9" s="238">
        <f>ROUND(K9/27.8,1)</f>
        <v>33.5</v>
      </c>
      <c r="M9" s="239">
        <f>Input_PalletsPerYear*(L9/3600)*Input_PalletsNeedAdjPCT/Input_PalletsPerStack</f>
        <v>670.74444444444441</v>
      </c>
      <c r="N9" s="240">
        <f>(Input_PalletsPerYear/Input_PalletsPerStack)*(L9/3600)*(Input_PayRate_Operator*(1+Input_PayRate_BenefitLoad))*Input_PalletsNeedAdjPCT</f>
        <v>14387.468333333332</v>
      </c>
      <c r="O9" s="194"/>
      <c r="P9" s="241">
        <v>0</v>
      </c>
      <c r="Q9" s="242">
        <f>ROUND(P9/27.8,1)</f>
        <v>0</v>
      </c>
      <c r="R9" s="239">
        <f>Input_PalletsPerYear*(Q9/3600)*Input_PalletsNeedAdjPCT/Input_PalletsPerStack</f>
        <v>0</v>
      </c>
      <c r="S9" s="243">
        <f>(Input_PalletsPerYear/7)*(Q9/3600)*(Input_PayRate_Operator*(1+Input_PayRate_BenefitLoad))*Input_PalletsNeedAdjPCT</f>
        <v>0</v>
      </c>
      <c r="T9" s="194"/>
    </row>
    <row r="10" spans="1:20" ht="13.5" thickBot="1" x14ac:dyDescent="0.25">
      <c r="A10" s="194"/>
      <c r="B10" s="244" t="s">
        <v>112</v>
      </c>
      <c r="C10" s="245">
        <v>850</v>
      </c>
      <c r="D10" s="194"/>
      <c r="E10" s="194"/>
      <c r="F10" s="194"/>
      <c r="G10" s="194"/>
      <c r="H10" s="194"/>
      <c r="I10" s="194"/>
      <c r="J10" s="246" t="s">
        <v>101</v>
      </c>
      <c r="K10" s="247"/>
      <c r="L10" s="247"/>
      <c r="M10" s="247"/>
      <c r="N10" s="248">
        <f>SUM(Input_Calc_Costs_Conv)</f>
        <v>103544.39333333333</v>
      </c>
      <c r="O10" s="194"/>
      <c r="P10" s="264"/>
      <c r="Q10" s="265"/>
      <c r="R10" s="265"/>
      <c r="S10" s="249">
        <f>SUM(Input_Calc_Costs_PRD)</f>
        <v>64872.971428571429</v>
      </c>
      <c r="T10" s="194"/>
    </row>
    <row r="11" spans="1:20" x14ac:dyDescent="0.2">
      <c r="A11" s="194"/>
      <c r="B11" s="196" t="s">
        <v>92</v>
      </c>
      <c r="C11" s="245">
        <v>3000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</row>
    <row r="12" spans="1:20" x14ac:dyDescent="0.2">
      <c r="A12" s="194"/>
      <c r="B12" s="198" t="s">
        <v>93</v>
      </c>
      <c r="C12" s="222">
        <v>0.05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</row>
    <row r="13" spans="1:20" ht="4.5" customHeight="1" x14ac:dyDescent="0.2">
      <c r="A13" s="194"/>
      <c r="B13" s="99"/>
      <c r="C13" s="250"/>
      <c r="D13" s="194"/>
      <c r="E13" s="194"/>
      <c r="F13" s="194"/>
      <c r="G13" s="194"/>
      <c r="H13" s="194"/>
      <c r="I13" s="194"/>
      <c r="J13" s="251"/>
      <c r="K13" s="194"/>
      <c r="L13" s="194"/>
      <c r="M13" s="194"/>
      <c r="N13" s="252"/>
      <c r="O13" s="194"/>
      <c r="P13" s="194"/>
      <c r="Q13" s="194"/>
      <c r="R13" s="194"/>
      <c r="S13" s="252"/>
      <c r="T13" s="194"/>
    </row>
    <row r="14" spans="1:20" x14ac:dyDescent="0.2">
      <c r="A14" s="194"/>
      <c r="B14" s="198" t="s">
        <v>98</v>
      </c>
      <c r="C14" s="253">
        <v>33214</v>
      </c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</row>
    <row r="15" spans="1:20" x14ac:dyDescent="0.2">
      <c r="A15" s="194"/>
      <c r="B15" s="198" t="s">
        <v>99</v>
      </c>
      <c r="C15" s="253">
        <f>0.55*(AVERAGE(Input_PayRate_Selector,Input_PayRate_Operator)*2080)</f>
        <v>16302.000000000002</v>
      </c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</row>
    <row r="16" spans="1:20" ht="13.5" thickBot="1" x14ac:dyDescent="0.25">
      <c r="A16" s="194"/>
      <c r="B16" s="254" t="s">
        <v>105</v>
      </c>
      <c r="C16" s="255">
        <f>Input_PalletsPerYear*Input_Costs_Injury_AtRiskFactor/10000</f>
        <v>3.4</v>
      </c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spans="1:20" s="256" customFormat="1" x14ac:dyDescent="0.2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</row>
    <row r="18" spans="1:20" s="256" customFormat="1" ht="13.5" thickBot="1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</row>
    <row r="19" spans="1:20" ht="13.5" thickBot="1" x14ac:dyDescent="0.25">
      <c r="A19" s="194"/>
      <c r="B19" s="266" t="s">
        <v>81</v>
      </c>
      <c r="C19" s="267"/>
      <c r="D19" s="194"/>
      <c r="E19" s="280" t="s">
        <v>80</v>
      </c>
      <c r="F19" s="281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</row>
    <row r="20" spans="1:20" ht="13.5" thickBot="1" x14ac:dyDescent="0.25">
      <c r="A20" s="194"/>
      <c r="B20" s="257" t="s">
        <v>119</v>
      </c>
      <c r="C20" s="164">
        <v>42613</v>
      </c>
      <c r="D20" s="194"/>
      <c r="E20" s="278" t="str">
        <f>"all figures in " &amp; Input_Units</f>
        <v>all figures in 1000</v>
      </c>
      <c r="F20" s="279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</row>
    <row r="21" spans="1:20" ht="13.5" thickBot="1" x14ac:dyDescent="0.25">
      <c r="A21" s="194"/>
      <c r="B21" s="258" t="s">
        <v>68</v>
      </c>
      <c r="C21" s="165">
        <v>42948</v>
      </c>
      <c r="D21" s="194"/>
      <c r="E21" s="268" t="s">
        <v>36</v>
      </c>
      <c r="F21" s="269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</row>
    <row r="22" spans="1:20" ht="13.5" thickBot="1" x14ac:dyDescent="0.25">
      <c r="A22" s="194"/>
      <c r="B22" s="258" t="s">
        <v>69</v>
      </c>
      <c r="C22" s="166">
        <v>10</v>
      </c>
      <c r="D22" s="194"/>
      <c r="E22" s="68" t="s">
        <v>55</v>
      </c>
      <c r="F22" s="72">
        <f>FinancialResults_NPV</f>
        <v>680.10510637442189</v>
      </c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</row>
    <row r="23" spans="1:20" ht="13.5" thickBot="1" x14ac:dyDescent="0.25">
      <c r="A23" s="194"/>
      <c r="B23" s="258" t="s">
        <v>70</v>
      </c>
      <c r="C23" s="259">
        <v>12</v>
      </c>
      <c r="D23" s="194"/>
      <c r="E23" s="276" t="s">
        <v>34</v>
      </c>
      <c r="F23" s="277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</row>
    <row r="24" spans="1:20" ht="13.5" thickBot="1" x14ac:dyDescent="0.25">
      <c r="A24" s="194"/>
      <c r="B24" s="258" t="s">
        <v>2</v>
      </c>
      <c r="C24" s="260">
        <v>1000</v>
      </c>
      <c r="D24" s="194"/>
      <c r="E24" s="68" t="s">
        <v>56</v>
      </c>
      <c r="F24" s="73">
        <f>FinancialResults_ROI_Discounted</f>
        <v>3.0461980049833111</v>
      </c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</row>
    <row r="25" spans="1:20" ht="13.5" thickBot="1" x14ac:dyDescent="0.25">
      <c r="A25" s="194"/>
      <c r="B25" s="258" t="s">
        <v>5</v>
      </c>
      <c r="C25" s="261">
        <v>0.09</v>
      </c>
      <c r="D25" s="194"/>
      <c r="E25" s="68" t="s">
        <v>57</v>
      </c>
      <c r="F25" s="73">
        <f>FinancialResults_ROI_NonDiscounted</f>
        <v>2.586316802571647</v>
      </c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</row>
    <row r="26" spans="1:20" ht="13.5" thickBot="1" x14ac:dyDescent="0.25">
      <c r="A26" s="194"/>
      <c r="B26" s="258" t="s">
        <v>4</v>
      </c>
      <c r="C26" s="261">
        <v>0.37</v>
      </c>
      <c r="D26" s="194"/>
      <c r="E26" s="276" t="s">
        <v>35</v>
      </c>
      <c r="F26" s="277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</row>
    <row r="27" spans="1:20" ht="13.5" thickBot="1" x14ac:dyDescent="0.25">
      <c r="A27" s="194"/>
      <c r="B27" s="262" t="s">
        <v>121</v>
      </c>
      <c r="C27" s="263">
        <f>1-((Input_ProjectStart-(Input_FY_EndDate+1))/365)</f>
        <v>8.4931506849315053E-2</v>
      </c>
      <c r="D27" s="194"/>
      <c r="E27" s="74" t="s">
        <v>58</v>
      </c>
      <c r="F27" s="75">
        <f>FinancialResults_IRR</f>
        <v>0.27634494669517573</v>
      </c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</row>
    <row r="28" spans="1:20" x14ac:dyDescent="0.2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</row>
  </sheetData>
  <sheetProtection password="CF05" sheet="1" objects="1" scenarios="1"/>
  <mergeCells count="13">
    <mergeCell ref="E23:F23"/>
    <mergeCell ref="E26:F26"/>
    <mergeCell ref="E20:F20"/>
    <mergeCell ref="E19:F19"/>
    <mergeCell ref="B19:C19"/>
    <mergeCell ref="B2:C2"/>
    <mergeCell ref="E21:F21"/>
    <mergeCell ref="K2:N2"/>
    <mergeCell ref="P2:S2"/>
    <mergeCell ref="M3:N3"/>
    <mergeCell ref="R3:S3"/>
    <mergeCell ref="K3:L3"/>
    <mergeCell ref="P3:Q3"/>
  </mergeCells>
  <dataValidations count="17">
    <dataValidation allowBlank="1" showInputMessage="1" showErrorMessage="1" promptTitle="ROI ANALYSIS INPUT" prompt="Enter the number of pallets the facility handles in a year" sqref="C3"/>
    <dataValidation allowBlank="1" showInputMessage="1" showErrorMessage="1" promptTitle="ROI ANALYSIS INPUT" prompt="Enter the average hourly wage rate for a Full Case Order Selector (not including benefits)." sqref="C4"/>
    <dataValidation allowBlank="1" showInputMessage="1" showErrorMessage="1" promptTitle="ROI ANALYSIS INPUT" prompt="Enter the average hourly wage rate for a Forklift Operator (not including benefits)." sqref="C5"/>
    <dataValidation allowBlank="1" showInputMessage="1" showErrorMessage="1" promptTitle="ROI ANALYSIS INPUT" prompt="Enter a percentage to calculate the labor rate with benefits." sqref="C6"/>
    <dataValidation allowBlank="1" showInputMessage="1" showErrorMessage="1" promptTitle="ROI ANALYSIS INPUT" prompt="Enter the number of pallets the facility allows in a stack" sqref="C7"/>
    <dataValidation allowBlank="1" showInputMessage="1" showErrorMessage="1" promptTitle="ROI ANALYSIS INPUT" prompt="Enter the number of pallet stacks that need to be straightened by the forklift operator." sqref="C8"/>
    <dataValidation allowBlank="1" showInputMessage="1" showErrorMessage="1" promptTitle="ROI ANALYSIS INPUT" prompt="Enter the number of pallet return locations." sqref="C9"/>
    <dataValidation allowBlank="1" showInputMessage="1" showErrorMessage="1" promptTitle="ROI ANALYSIS INPUT" prompt="For NEW Construction:_x000a_Enter the total installed equipment cost of a conventional Pallet Return_x000a__x000a_For Retrofit of PRD:_x000a_Set value to zero._x000a_" sqref="C10"/>
    <dataValidation allowBlank="1" showInputMessage="1" showErrorMessage="1" promptTitle="PRD FINANCIAL MODEL INPUT" prompt="Enter the date the last fiscal year ended." sqref="C20"/>
    <dataValidation allowBlank="1" showInputMessage="1" showErrorMessage="1" errorTitle="PRD FINANCIAL MODEL ERROR" error="Please make sure fiscal year end date entered above is most recent one prior to project start date." promptTitle="PRD FINANCIAL MODEL INPUT" prompt="Enter the date of benefical use.  This is used to start the savings and depreciation calculations." sqref="C21"/>
    <dataValidation allowBlank="1" showInputMessage="1" showErrorMessage="1" promptTitle="PRD FINANCIAL MODEL INPUT" prompt="Enter the expected number of years the equipment will last.  This is used to determine if depreciation must be accelerated at end of life." sqref="C22"/>
    <dataValidation allowBlank="1" showInputMessage="1" showErrorMessage="1" promptTitle="PRD FINANCIAL MODEL INPUT" prompt="Enter the number of years used to depreciate equipment." sqref="C23"/>
    <dataValidation allowBlank="1" showInputMessage="1" showErrorMessage="1" promptTitle="PRD FINANCIAL MODEL INPUT" prompt="Enter the financial units to be displayed._x000a__x000a_Ex: 1, 100, 1,000 ..." sqref="C24"/>
    <dataValidation allowBlank="1" showInputMessage="1" showErrorMessage="1" promptTitle="PRD FINANCIAL MODEL INPUT" prompt="Enter the discount rate to be used in Discounted Cash Flow calculations." sqref="C25"/>
    <dataValidation allowBlank="1" showInputMessage="1" showErrorMessage="1" promptTitle="PRD FINANCIAL MODEL INPUT" prompt="Enter the implied corporate income tax rate." sqref="C26"/>
    <dataValidation allowBlank="1" showInputMessage="1" showErrorMessage="1" promptTitle="ROI ANALYSIS INPUT" prompt="Enter the total installed cost of the PRD (based on quantity discount)" sqref="C11"/>
    <dataValidation allowBlank="1" showInputMessage="1" showErrorMessage="1" promptTitle="ROI ANALYSIS INPUT" prompt="Enter an estimate for the percentage of times an order selector is exposed to risk of injury:_x000a__x000a_-Handles a pallet outside power zone_x000a__x000a_-Puts significant stress on Back, Shoulders, Arms, Wrists_x000a__x000a_-Exposes hands to injury_x000a_" sqref="C12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O119"/>
  <sheetViews>
    <sheetView zoomScale="80" zoomScaleNormal="80" workbookViewId="0">
      <selection activeCell="I11" sqref="I11"/>
    </sheetView>
  </sheetViews>
  <sheetFormatPr defaultColWidth="9.140625" defaultRowHeight="12.75" x14ac:dyDescent="0.2"/>
  <cols>
    <col min="1" max="1" width="2.7109375" style="11" customWidth="1"/>
    <col min="2" max="2" width="35.7109375" style="11" customWidth="1"/>
    <col min="3" max="3" width="9.85546875" style="11" bestFit="1" customWidth="1"/>
    <col min="4" max="4" width="13.7109375" style="11" customWidth="1"/>
    <col min="5" max="6" width="11.28515625" style="11" bestFit="1" customWidth="1"/>
    <col min="7" max="7" width="12.85546875" style="11" customWidth="1"/>
    <col min="8" max="8" width="11.28515625" style="11" customWidth="1"/>
    <col min="9" max="9" width="11.5703125" style="11" customWidth="1"/>
    <col min="10" max="10" width="11.28515625" style="11" bestFit="1" customWidth="1"/>
    <col min="11" max="11" width="11.5703125" style="11" bestFit="1" customWidth="1"/>
    <col min="12" max="12" width="12.28515625" style="11" bestFit="1" customWidth="1"/>
    <col min="13" max="14" width="10.7109375" style="11" customWidth="1"/>
    <col min="15" max="15" width="1.5703125" style="11" customWidth="1"/>
    <col min="16" max="16" width="2.7109375" style="11" customWidth="1"/>
    <col min="17" max="16384" width="9.140625" style="11"/>
  </cols>
  <sheetData>
    <row r="1" spans="1:15" s="9" customFormat="1" ht="12" customHeight="1" x14ac:dyDescent="0.4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2.75" customHeight="1" thickBot="1" x14ac:dyDescent="0.3"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">
      <c r="A3" s="14"/>
      <c r="B3" s="167" t="s">
        <v>81</v>
      </c>
      <c r="C3" s="168"/>
      <c r="E3" s="76" t="s">
        <v>80</v>
      </c>
      <c r="F3" s="77"/>
      <c r="G3" s="77"/>
      <c r="H3" s="77"/>
      <c r="I3" s="93"/>
    </row>
    <row r="4" spans="1:15" ht="13.5" thickBot="1" x14ac:dyDescent="0.25">
      <c r="A4" s="71"/>
      <c r="B4" s="169" t="s">
        <v>66</v>
      </c>
      <c r="C4" s="170">
        <f>Input_FY_EndDate</f>
        <v>42613</v>
      </c>
      <c r="E4" s="81" t="str">
        <f>"all figures in " &amp; Input_Units</f>
        <v>all figures in 1000</v>
      </c>
      <c r="F4" s="91"/>
      <c r="G4" s="91"/>
      <c r="H4" s="91"/>
      <c r="I4" s="92"/>
    </row>
    <row r="5" spans="1:15" x14ac:dyDescent="0.2">
      <c r="B5" s="99" t="s">
        <v>68</v>
      </c>
      <c r="C5" s="170">
        <f>Input_ProjectStart</f>
        <v>42948</v>
      </c>
      <c r="E5" s="95" t="s">
        <v>36</v>
      </c>
      <c r="F5" s="96"/>
      <c r="G5" s="97"/>
      <c r="H5" s="97"/>
      <c r="I5" s="98"/>
    </row>
    <row r="6" spans="1:15" x14ac:dyDescent="0.2">
      <c r="B6" s="99" t="s">
        <v>69</v>
      </c>
      <c r="C6" s="171">
        <f>Input_UsefulLife</f>
        <v>10</v>
      </c>
      <c r="E6" s="99" t="s">
        <v>55</v>
      </c>
      <c r="F6" s="100"/>
      <c r="G6" s="101"/>
      <c r="H6" s="102"/>
      <c r="I6" s="103">
        <f>E104</f>
        <v>680.10510637442189</v>
      </c>
    </row>
    <row r="7" spans="1:15" x14ac:dyDescent="0.2">
      <c r="B7" s="99" t="s">
        <v>70</v>
      </c>
      <c r="C7" s="88">
        <f>SUMMARY!C23</f>
        <v>12</v>
      </c>
      <c r="E7" s="95" t="s">
        <v>34</v>
      </c>
      <c r="F7" s="96"/>
      <c r="G7" s="97"/>
      <c r="H7" s="97"/>
      <c r="I7" s="98"/>
    </row>
    <row r="8" spans="1:15" x14ac:dyDescent="0.2">
      <c r="B8" s="99" t="s">
        <v>2</v>
      </c>
      <c r="C8" s="89">
        <f>Input_Units</f>
        <v>1000</v>
      </c>
      <c r="E8" s="99" t="s">
        <v>56</v>
      </c>
      <c r="F8" s="104"/>
      <c r="G8" s="105"/>
      <c r="H8" s="105"/>
      <c r="I8" s="106">
        <f>IF(D118="less than 1 yr",D118,SUM(D118:N118))</f>
        <v>3.0461980049833111</v>
      </c>
    </row>
    <row r="9" spans="1:15" x14ac:dyDescent="0.2">
      <c r="B9" s="99" t="s">
        <v>5</v>
      </c>
      <c r="C9" s="90">
        <f>Input_WACC</f>
        <v>0.09</v>
      </c>
      <c r="E9" s="99" t="s">
        <v>57</v>
      </c>
      <c r="F9" s="105"/>
      <c r="G9" s="105"/>
      <c r="H9" s="105"/>
      <c r="I9" s="106">
        <f>IF(D117="less than 1 yr",D117,SUM(D117:N117))</f>
        <v>2.586316802571647</v>
      </c>
    </row>
    <row r="10" spans="1:15" x14ac:dyDescent="0.2">
      <c r="B10" s="99" t="s">
        <v>4</v>
      </c>
      <c r="C10" s="90">
        <f>Input_TaxRate</f>
        <v>0.37</v>
      </c>
      <c r="D10" s="71"/>
      <c r="E10" s="95" t="s">
        <v>35</v>
      </c>
      <c r="F10" s="107"/>
      <c r="G10" s="97"/>
      <c r="H10" s="108"/>
      <c r="I10" s="109"/>
    </row>
    <row r="11" spans="1:15" ht="13.5" thickBot="1" x14ac:dyDescent="0.25">
      <c r="B11" s="110" t="s">
        <v>8</v>
      </c>
      <c r="C11" s="172">
        <f>Input_Calc_StubYear</f>
        <v>8.4931506849315053E-2</v>
      </c>
      <c r="D11" s="26"/>
      <c r="E11" s="110" t="s">
        <v>58</v>
      </c>
      <c r="F11" s="111"/>
      <c r="G11" s="112"/>
      <c r="H11" s="112"/>
      <c r="I11" s="113">
        <f>+IRR($D$113:$N$113,18%)</f>
        <v>0.27634494669517573</v>
      </c>
      <c r="J11" s="94"/>
    </row>
    <row r="12" spans="1:15" x14ac:dyDescent="0.2">
      <c r="B12" s="27"/>
      <c r="C12" s="27"/>
      <c r="D12" s="27"/>
      <c r="E12" s="27"/>
      <c r="F12" s="27"/>
      <c r="G12" s="27"/>
      <c r="H12" s="27"/>
      <c r="I12" s="29"/>
      <c r="J12" s="26"/>
      <c r="K12" s="26"/>
      <c r="L12" s="26"/>
      <c r="M12" s="26"/>
      <c r="N12" s="26"/>
      <c r="O12" s="26"/>
    </row>
    <row r="13" spans="1:15" s="173" customFormat="1" x14ac:dyDescent="0.2"/>
    <row r="14" spans="1:15" s="173" customFormat="1" ht="21" customHeight="1" thickBot="1" x14ac:dyDescent="0.25">
      <c r="B14" s="174" t="s">
        <v>82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</row>
    <row r="15" spans="1:15" s="173" customFormat="1" x14ac:dyDescent="0.2">
      <c r="B15" s="76" t="s">
        <v>73</v>
      </c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80"/>
    </row>
    <row r="16" spans="1:15" s="173" customFormat="1" ht="13.5" thickBot="1" x14ac:dyDescent="0.25">
      <c r="B16" s="175" t="str">
        <f>"all figures in " &amp; Input_Units</f>
        <v>all figures in 1000</v>
      </c>
      <c r="C16" s="14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9"/>
      <c r="O16" s="82"/>
    </row>
    <row r="17" spans="2:15" s="142" customFormat="1" x14ac:dyDescent="0.2">
      <c r="B17" s="150" t="s">
        <v>20</v>
      </c>
      <c r="C17" s="151"/>
      <c r="D17" s="152">
        <v>0</v>
      </c>
      <c r="E17" s="152">
        <f>$D$17+1</f>
        <v>1</v>
      </c>
      <c r="F17" s="152">
        <f>$D$17+2</f>
        <v>2</v>
      </c>
      <c r="G17" s="152">
        <v>3</v>
      </c>
      <c r="H17" s="152">
        <f>$D$17+4</f>
        <v>4</v>
      </c>
      <c r="I17" s="152">
        <f>$D$17+5</f>
        <v>5</v>
      </c>
      <c r="J17" s="152">
        <f>$D$17+6</f>
        <v>6</v>
      </c>
      <c r="K17" s="152">
        <f>$D$17+7</f>
        <v>7</v>
      </c>
      <c r="L17" s="152">
        <f>$D$17+8</f>
        <v>8</v>
      </c>
      <c r="M17" s="155">
        <f>$D$17+9</f>
        <v>9</v>
      </c>
      <c r="N17" s="152">
        <f>$D$17+10</f>
        <v>10</v>
      </c>
      <c r="O17" s="146"/>
    </row>
    <row r="18" spans="2:15" s="173" customFormat="1" x14ac:dyDescent="0.2">
      <c r="B18" s="123" t="s">
        <v>7</v>
      </c>
      <c r="C18" s="176"/>
      <c r="D18" s="114">
        <f>YEAR(SUMMARY!C20)+1</f>
        <v>2017</v>
      </c>
      <c r="E18" s="115">
        <f t="shared" ref="E18:N18" si="0">D18+1</f>
        <v>2018</v>
      </c>
      <c r="F18" s="115">
        <f t="shared" si="0"/>
        <v>2019</v>
      </c>
      <c r="G18" s="115">
        <f t="shared" si="0"/>
        <v>2020</v>
      </c>
      <c r="H18" s="115">
        <f t="shared" si="0"/>
        <v>2021</v>
      </c>
      <c r="I18" s="115">
        <f t="shared" si="0"/>
        <v>2022</v>
      </c>
      <c r="J18" s="115">
        <f t="shared" si="0"/>
        <v>2023</v>
      </c>
      <c r="K18" s="115">
        <f t="shared" si="0"/>
        <v>2024</v>
      </c>
      <c r="L18" s="115">
        <f t="shared" si="0"/>
        <v>2025</v>
      </c>
      <c r="M18" s="115">
        <f t="shared" si="0"/>
        <v>2026</v>
      </c>
      <c r="N18" s="115">
        <f t="shared" si="0"/>
        <v>2027</v>
      </c>
      <c r="O18" s="18"/>
    </row>
    <row r="19" spans="2:15" s="173" customFormat="1" x14ac:dyDescent="0.2">
      <c r="B19" s="116" t="s">
        <v>10</v>
      </c>
      <c r="C19" s="117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8"/>
    </row>
    <row r="20" spans="2:15" s="173" customFormat="1" x14ac:dyDescent="0.2">
      <c r="B20" s="177"/>
      <c r="C20" s="118"/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178">
        <v>0</v>
      </c>
      <c r="O20" s="18"/>
    </row>
    <row r="21" spans="2:15" s="173" customFormat="1" x14ac:dyDescent="0.2">
      <c r="B21" s="116" t="s">
        <v>17</v>
      </c>
      <c r="C21" s="117"/>
      <c r="D21" s="179">
        <f t="shared" ref="D21:N21" si="1">SUM(D20:D20)</f>
        <v>0</v>
      </c>
      <c r="E21" s="179">
        <f t="shared" si="1"/>
        <v>0</v>
      </c>
      <c r="F21" s="179">
        <f t="shared" si="1"/>
        <v>0</v>
      </c>
      <c r="G21" s="179">
        <f t="shared" si="1"/>
        <v>0</v>
      </c>
      <c r="H21" s="179">
        <f t="shared" si="1"/>
        <v>0</v>
      </c>
      <c r="I21" s="179">
        <f t="shared" si="1"/>
        <v>0</v>
      </c>
      <c r="J21" s="179">
        <f t="shared" si="1"/>
        <v>0</v>
      </c>
      <c r="K21" s="179">
        <f t="shared" si="1"/>
        <v>0</v>
      </c>
      <c r="L21" s="179">
        <f t="shared" si="1"/>
        <v>0</v>
      </c>
      <c r="M21" s="179">
        <f t="shared" si="1"/>
        <v>0</v>
      </c>
      <c r="N21" s="179">
        <f t="shared" si="1"/>
        <v>0</v>
      </c>
      <c r="O21" s="18"/>
    </row>
    <row r="22" spans="2:15" s="173" customFormat="1" x14ac:dyDescent="0.2">
      <c r="B22" s="180"/>
      <c r="C22" s="143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"/>
    </row>
    <row r="23" spans="2:15" s="173" customFormat="1" x14ac:dyDescent="0.2">
      <c r="B23" s="116" t="s">
        <v>14</v>
      </c>
      <c r="C23" s="117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"/>
    </row>
    <row r="24" spans="2:15" s="173" customFormat="1" x14ac:dyDescent="0.2">
      <c r="B24" s="182" t="s">
        <v>71</v>
      </c>
      <c r="C24" s="118"/>
      <c r="D24" s="183">
        <f>-SUM(Input_Calc_Savings_Labor)*Input_Calc_StubYear/Input_Units</f>
        <v>-3.2844221343770372</v>
      </c>
      <c r="E24" s="183">
        <f t="shared" ref="E24:N24" si="2">-SUM(Input_Calc_Savings_Labor)/Input_Units</f>
        <v>-38.6714219047619</v>
      </c>
      <c r="F24" s="183">
        <f t="shared" si="2"/>
        <v>-38.6714219047619</v>
      </c>
      <c r="G24" s="183">
        <f t="shared" si="2"/>
        <v>-38.6714219047619</v>
      </c>
      <c r="H24" s="183">
        <f t="shared" si="2"/>
        <v>-38.6714219047619</v>
      </c>
      <c r="I24" s="183">
        <f t="shared" si="2"/>
        <v>-38.6714219047619</v>
      </c>
      <c r="J24" s="183">
        <f t="shared" si="2"/>
        <v>-38.6714219047619</v>
      </c>
      <c r="K24" s="183">
        <f t="shared" si="2"/>
        <v>-38.6714219047619</v>
      </c>
      <c r="L24" s="183">
        <f t="shared" si="2"/>
        <v>-38.6714219047619</v>
      </c>
      <c r="M24" s="183">
        <f t="shared" si="2"/>
        <v>-38.6714219047619</v>
      </c>
      <c r="N24" s="183">
        <f t="shared" si="2"/>
        <v>-38.6714219047619</v>
      </c>
      <c r="O24" s="18"/>
    </row>
    <row r="25" spans="2:15" s="173" customFormat="1" x14ac:dyDescent="0.2">
      <c r="B25" s="116" t="s">
        <v>12</v>
      </c>
      <c r="C25" s="117"/>
      <c r="D25" s="184">
        <f t="shared" ref="D25:N25" si="3">SUM(D24:D24)</f>
        <v>-3.2844221343770372</v>
      </c>
      <c r="E25" s="184">
        <f t="shared" si="3"/>
        <v>-38.6714219047619</v>
      </c>
      <c r="F25" s="184">
        <f t="shared" si="3"/>
        <v>-38.6714219047619</v>
      </c>
      <c r="G25" s="184">
        <f t="shared" si="3"/>
        <v>-38.6714219047619</v>
      </c>
      <c r="H25" s="184">
        <f t="shared" si="3"/>
        <v>-38.6714219047619</v>
      </c>
      <c r="I25" s="184">
        <f t="shared" si="3"/>
        <v>-38.6714219047619</v>
      </c>
      <c r="J25" s="184">
        <f t="shared" si="3"/>
        <v>-38.6714219047619</v>
      </c>
      <c r="K25" s="184">
        <f t="shared" si="3"/>
        <v>-38.6714219047619</v>
      </c>
      <c r="L25" s="184">
        <f t="shared" si="3"/>
        <v>-38.6714219047619</v>
      </c>
      <c r="M25" s="184">
        <f t="shared" si="3"/>
        <v>-38.6714219047619</v>
      </c>
      <c r="N25" s="184">
        <f t="shared" si="3"/>
        <v>-38.6714219047619</v>
      </c>
      <c r="O25" s="18"/>
    </row>
    <row r="26" spans="2:15" s="173" customFormat="1" x14ac:dyDescent="0.2">
      <c r="B26" s="180"/>
      <c r="C26" s="143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"/>
    </row>
    <row r="27" spans="2:15" s="173" customFormat="1" ht="12.75" customHeight="1" x14ac:dyDescent="0.2">
      <c r="B27" s="116" t="s">
        <v>11</v>
      </c>
      <c r="C27" s="117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"/>
    </row>
    <row r="28" spans="2:15" s="173" customFormat="1" x14ac:dyDescent="0.2">
      <c r="B28" s="185" t="s">
        <v>72</v>
      </c>
      <c r="C28" s="119"/>
      <c r="D28" s="178">
        <f>-SUM(Input_Calc_Savings_Injury)*Input_Calc_StubYear/Input_Units</f>
        <v>-14.298592876712325</v>
      </c>
      <c r="E28" s="178">
        <f t="shared" ref="E28:N28" si="4">-SUM(Input_Calc_Savings_Injury)/Input_Units</f>
        <v>-168.3544</v>
      </c>
      <c r="F28" s="178">
        <f t="shared" si="4"/>
        <v>-168.3544</v>
      </c>
      <c r="G28" s="178">
        <f t="shared" si="4"/>
        <v>-168.3544</v>
      </c>
      <c r="H28" s="178">
        <f t="shared" si="4"/>
        <v>-168.3544</v>
      </c>
      <c r="I28" s="178">
        <f t="shared" si="4"/>
        <v>-168.3544</v>
      </c>
      <c r="J28" s="178">
        <f t="shared" si="4"/>
        <v>-168.3544</v>
      </c>
      <c r="K28" s="178">
        <f t="shared" si="4"/>
        <v>-168.3544</v>
      </c>
      <c r="L28" s="178">
        <f t="shared" si="4"/>
        <v>-168.3544</v>
      </c>
      <c r="M28" s="178">
        <f t="shared" si="4"/>
        <v>-168.3544</v>
      </c>
      <c r="N28" s="178">
        <f t="shared" si="4"/>
        <v>-168.3544</v>
      </c>
      <c r="O28" s="18"/>
    </row>
    <row r="29" spans="2:15" s="173" customFormat="1" x14ac:dyDescent="0.2">
      <c r="B29" s="69" t="s">
        <v>13</v>
      </c>
      <c r="C29" s="124"/>
      <c r="D29" s="179">
        <f t="shared" ref="D29:N29" si="5">SUM(D28:D28)</f>
        <v>-14.298592876712325</v>
      </c>
      <c r="E29" s="179">
        <f t="shared" si="5"/>
        <v>-168.3544</v>
      </c>
      <c r="F29" s="179">
        <f t="shared" si="5"/>
        <v>-168.3544</v>
      </c>
      <c r="G29" s="179">
        <f t="shared" si="5"/>
        <v>-168.3544</v>
      </c>
      <c r="H29" s="179">
        <f t="shared" si="5"/>
        <v>-168.3544</v>
      </c>
      <c r="I29" s="179">
        <f t="shared" si="5"/>
        <v>-168.3544</v>
      </c>
      <c r="J29" s="179">
        <f t="shared" si="5"/>
        <v>-168.3544</v>
      </c>
      <c r="K29" s="179">
        <f t="shared" si="5"/>
        <v>-168.3544</v>
      </c>
      <c r="L29" s="179">
        <f t="shared" si="5"/>
        <v>-168.3544</v>
      </c>
      <c r="M29" s="179">
        <f t="shared" si="5"/>
        <v>-168.3544</v>
      </c>
      <c r="N29" s="179">
        <f t="shared" si="5"/>
        <v>-168.3544</v>
      </c>
      <c r="O29" s="18"/>
    </row>
    <row r="30" spans="2:15" s="173" customFormat="1" x14ac:dyDescent="0.2">
      <c r="B30" s="69"/>
      <c r="C30" s="12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"/>
    </row>
    <row r="31" spans="2:15" s="173" customFormat="1" x14ac:dyDescent="0.2">
      <c r="B31" s="69" t="s">
        <v>15</v>
      </c>
      <c r="C31" s="124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"/>
    </row>
    <row r="32" spans="2:15" s="173" customFormat="1" x14ac:dyDescent="0.2">
      <c r="B32" s="120" t="s">
        <v>3</v>
      </c>
      <c r="C32" s="121"/>
      <c r="D32" s="178">
        <f>-SUM(Input_Calc_Savings_Project)*Input_Calc_StubYear/Input_Units</f>
        <v>0</v>
      </c>
      <c r="E32" s="178"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8">
        <v>0</v>
      </c>
      <c r="N32" s="178">
        <v>0</v>
      </c>
      <c r="O32" s="18"/>
    </row>
    <row r="33" spans="2:15" s="173" customFormat="1" x14ac:dyDescent="0.2">
      <c r="B33" s="69" t="s">
        <v>16</v>
      </c>
      <c r="C33" s="124"/>
      <c r="D33" s="179">
        <f t="shared" ref="D33:N33" si="6">SUM(D32:D32)</f>
        <v>0</v>
      </c>
      <c r="E33" s="179">
        <f t="shared" si="6"/>
        <v>0</v>
      </c>
      <c r="F33" s="179">
        <f t="shared" si="6"/>
        <v>0</v>
      </c>
      <c r="G33" s="179">
        <f t="shared" si="6"/>
        <v>0</v>
      </c>
      <c r="H33" s="179">
        <f t="shared" si="6"/>
        <v>0</v>
      </c>
      <c r="I33" s="179">
        <f t="shared" si="6"/>
        <v>0</v>
      </c>
      <c r="J33" s="179">
        <f t="shared" si="6"/>
        <v>0</v>
      </c>
      <c r="K33" s="179">
        <f t="shared" si="6"/>
        <v>0</v>
      </c>
      <c r="L33" s="179">
        <f t="shared" si="6"/>
        <v>0</v>
      </c>
      <c r="M33" s="179">
        <f t="shared" si="6"/>
        <v>0</v>
      </c>
      <c r="N33" s="179">
        <f t="shared" si="6"/>
        <v>0</v>
      </c>
      <c r="O33" s="18"/>
    </row>
    <row r="34" spans="2:15" s="173" customFormat="1" ht="13.5" thickBot="1" x14ac:dyDescent="0.25">
      <c r="B34" s="122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24"/>
    </row>
    <row r="35" spans="2:15" s="173" customFormat="1" x14ac:dyDescent="0.2">
      <c r="B35" s="76" t="s">
        <v>74</v>
      </c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80"/>
    </row>
    <row r="36" spans="2:15" s="173" customFormat="1" ht="13.5" thickBot="1" x14ac:dyDescent="0.25">
      <c r="B36" s="175" t="str">
        <f>"all figures in " &amp; Input_Units</f>
        <v>all figures in 1000</v>
      </c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  <c r="O36" s="144"/>
    </row>
    <row r="37" spans="2:15" s="173" customFormat="1" x14ac:dyDescent="0.2">
      <c r="B37" s="187" t="s">
        <v>20</v>
      </c>
      <c r="C37" s="188"/>
      <c r="D37" s="189">
        <f t="shared" ref="D37:N37" si="7">D17</f>
        <v>0</v>
      </c>
      <c r="E37" s="189">
        <f t="shared" si="7"/>
        <v>1</v>
      </c>
      <c r="F37" s="189">
        <f t="shared" si="7"/>
        <v>2</v>
      </c>
      <c r="G37" s="189">
        <f t="shared" si="7"/>
        <v>3</v>
      </c>
      <c r="H37" s="189">
        <f t="shared" si="7"/>
        <v>4</v>
      </c>
      <c r="I37" s="189">
        <f t="shared" si="7"/>
        <v>5</v>
      </c>
      <c r="J37" s="189">
        <f t="shared" si="7"/>
        <v>6</v>
      </c>
      <c r="K37" s="189">
        <f t="shared" si="7"/>
        <v>7</v>
      </c>
      <c r="L37" s="189">
        <f t="shared" si="7"/>
        <v>8</v>
      </c>
      <c r="M37" s="189">
        <f t="shared" si="7"/>
        <v>9</v>
      </c>
      <c r="N37" s="190">
        <f t="shared" si="7"/>
        <v>10</v>
      </c>
      <c r="O37" s="145"/>
    </row>
    <row r="38" spans="2:15" s="173" customFormat="1" x14ac:dyDescent="0.2">
      <c r="B38" s="123" t="s">
        <v>7</v>
      </c>
      <c r="C38" s="176"/>
      <c r="D38" s="115">
        <f>E38-1</f>
        <v>2017</v>
      </c>
      <c r="E38" s="115">
        <f>E18</f>
        <v>2018</v>
      </c>
      <c r="F38" s="115">
        <f t="shared" ref="F38:N38" si="8">E38+1</f>
        <v>2019</v>
      </c>
      <c r="G38" s="115">
        <f t="shared" si="8"/>
        <v>2020</v>
      </c>
      <c r="H38" s="115">
        <f t="shared" si="8"/>
        <v>2021</v>
      </c>
      <c r="I38" s="115">
        <f t="shared" si="8"/>
        <v>2022</v>
      </c>
      <c r="J38" s="115">
        <f t="shared" si="8"/>
        <v>2023</v>
      </c>
      <c r="K38" s="115">
        <f t="shared" si="8"/>
        <v>2024</v>
      </c>
      <c r="L38" s="115">
        <f t="shared" si="8"/>
        <v>2025</v>
      </c>
      <c r="M38" s="115">
        <f t="shared" si="8"/>
        <v>2026</v>
      </c>
      <c r="N38" s="115">
        <f t="shared" si="8"/>
        <v>2027</v>
      </c>
      <c r="O38" s="18"/>
    </row>
    <row r="39" spans="2:15" s="173" customFormat="1" ht="12.75" customHeight="1" x14ac:dyDescent="0.2">
      <c r="B39" s="116"/>
      <c r="C39" s="117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8"/>
    </row>
    <row r="40" spans="2:15" s="173" customFormat="1" x14ac:dyDescent="0.2">
      <c r="B40" s="116" t="s">
        <v>9</v>
      </c>
      <c r="C40" s="117"/>
      <c r="D40" s="179">
        <f>-Input_Calc_Savings_Capital/Input_Units</f>
        <v>430</v>
      </c>
      <c r="E40" s="179">
        <v>0</v>
      </c>
      <c r="F40" s="179">
        <v>0</v>
      </c>
      <c r="G40" s="179">
        <v>0</v>
      </c>
      <c r="H40" s="179">
        <v>0</v>
      </c>
      <c r="I40" s="179">
        <v>0</v>
      </c>
      <c r="J40" s="179">
        <v>0</v>
      </c>
      <c r="K40" s="179">
        <v>0</v>
      </c>
      <c r="L40" s="179">
        <v>0</v>
      </c>
      <c r="M40" s="179">
        <v>0</v>
      </c>
      <c r="N40" s="179">
        <v>0</v>
      </c>
      <c r="O40" s="18"/>
    </row>
    <row r="41" spans="2:15" s="173" customFormat="1" ht="13.5" thickBot="1" x14ac:dyDescent="0.25">
      <c r="B41" s="122"/>
      <c r="C41" s="186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24"/>
    </row>
    <row r="42" spans="2:15" s="173" customFormat="1" ht="13.5" thickBot="1" x14ac:dyDescent="0.25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</row>
    <row r="43" spans="2:15" x14ac:dyDescent="0.2">
      <c r="B43" s="76" t="s">
        <v>75</v>
      </c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  <c r="O43" s="80"/>
    </row>
    <row r="44" spans="2:15" ht="13.5" thickBot="1" x14ac:dyDescent="0.25">
      <c r="B44" s="175" t="str">
        <f>"all figures in " &amp; Input_Units</f>
        <v>all figures in 1000</v>
      </c>
      <c r="C44" s="147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9"/>
      <c r="O44" s="144"/>
    </row>
    <row r="45" spans="2:15" s="142" customFormat="1" x14ac:dyDescent="0.2">
      <c r="B45" s="150" t="s">
        <v>20</v>
      </c>
      <c r="C45" s="151"/>
      <c r="D45" s="152">
        <f>FINANCIAL!D17</f>
        <v>0</v>
      </c>
      <c r="E45" s="152">
        <f>FINANCIAL!E17</f>
        <v>1</v>
      </c>
      <c r="F45" s="152">
        <f>FINANCIAL!F17</f>
        <v>2</v>
      </c>
      <c r="G45" s="152">
        <f>FINANCIAL!G17</f>
        <v>3</v>
      </c>
      <c r="H45" s="152">
        <f>FINANCIAL!H17</f>
        <v>4</v>
      </c>
      <c r="I45" s="152">
        <f>FINANCIAL!I17</f>
        <v>5</v>
      </c>
      <c r="J45" s="152">
        <f>FINANCIAL!J17</f>
        <v>6</v>
      </c>
      <c r="K45" s="152">
        <f>FINANCIAL!K17</f>
        <v>7</v>
      </c>
      <c r="L45" s="152">
        <f>FINANCIAL!L17</f>
        <v>8</v>
      </c>
      <c r="M45" s="152">
        <f>FINANCIAL!M17</f>
        <v>9</v>
      </c>
      <c r="N45" s="152">
        <f>FINANCIAL!N17</f>
        <v>10</v>
      </c>
      <c r="O45" s="146"/>
    </row>
    <row r="46" spans="2:15" x14ac:dyDescent="0.2">
      <c r="B46" s="123" t="s">
        <v>7</v>
      </c>
      <c r="C46" s="124"/>
      <c r="D46" s="125">
        <f>FINANCIAL!D18</f>
        <v>2017</v>
      </c>
      <c r="E46" s="125">
        <f>FINANCIAL!E18</f>
        <v>2018</v>
      </c>
      <c r="F46" s="125">
        <f>FINANCIAL!F18</f>
        <v>2019</v>
      </c>
      <c r="G46" s="125">
        <f>FINANCIAL!G18</f>
        <v>2020</v>
      </c>
      <c r="H46" s="125">
        <f>FINANCIAL!H18</f>
        <v>2021</v>
      </c>
      <c r="I46" s="125">
        <f>FINANCIAL!I18</f>
        <v>2022</v>
      </c>
      <c r="J46" s="125">
        <f>FINANCIAL!J18</f>
        <v>2023</v>
      </c>
      <c r="K46" s="125">
        <f>FINANCIAL!K18</f>
        <v>2024</v>
      </c>
      <c r="L46" s="125">
        <f>FINANCIAL!L18</f>
        <v>2025</v>
      </c>
      <c r="M46" s="125">
        <f>FINANCIAL!M18</f>
        <v>2026</v>
      </c>
      <c r="N46" s="125">
        <f>FINANCIAL!N18</f>
        <v>2027</v>
      </c>
      <c r="O46" s="18"/>
    </row>
    <row r="47" spans="2:15" ht="6" customHeight="1" x14ac:dyDescent="0.2">
      <c r="B47" s="68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8"/>
    </row>
    <row r="48" spans="2:15" x14ac:dyDescent="0.2">
      <c r="B48" s="68" t="s">
        <v>17</v>
      </c>
      <c r="C48" s="126"/>
      <c r="D48" s="127">
        <f>FINANCIAL!D21</f>
        <v>0</v>
      </c>
      <c r="E48" s="127">
        <f>FINANCIAL!E21</f>
        <v>0</v>
      </c>
      <c r="F48" s="127">
        <f>FINANCIAL!F21</f>
        <v>0</v>
      </c>
      <c r="G48" s="127">
        <f>FINANCIAL!G21</f>
        <v>0</v>
      </c>
      <c r="H48" s="127">
        <f>FINANCIAL!H21</f>
        <v>0</v>
      </c>
      <c r="I48" s="127">
        <f>FINANCIAL!I21</f>
        <v>0</v>
      </c>
      <c r="J48" s="127">
        <f>FINANCIAL!J21</f>
        <v>0</v>
      </c>
      <c r="K48" s="127">
        <f>FINANCIAL!K21</f>
        <v>0</v>
      </c>
      <c r="L48" s="127">
        <f>FINANCIAL!L21</f>
        <v>0</v>
      </c>
      <c r="M48" s="127">
        <f>FINANCIAL!M21</f>
        <v>0</v>
      </c>
      <c r="N48" s="127">
        <f>FINANCIAL!N21</f>
        <v>0</v>
      </c>
      <c r="O48" s="18"/>
    </row>
    <row r="49" spans="2:15" ht="6.75" customHeight="1" x14ac:dyDescent="0.2">
      <c r="B49" s="68"/>
      <c r="C49" s="126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8"/>
    </row>
    <row r="50" spans="2:15" x14ac:dyDescent="0.2">
      <c r="B50" s="129" t="s">
        <v>12</v>
      </c>
      <c r="C50" s="126"/>
      <c r="D50" s="130">
        <f>FINANCIAL!D25</f>
        <v>-3.2844221343770372</v>
      </c>
      <c r="E50" s="130">
        <f>FINANCIAL!E25</f>
        <v>-38.6714219047619</v>
      </c>
      <c r="F50" s="130">
        <f>FINANCIAL!F25</f>
        <v>-38.6714219047619</v>
      </c>
      <c r="G50" s="130">
        <f>FINANCIAL!G25</f>
        <v>-38.6714219047619</v>
      </c>
      <c r="H50" s="130">
        <f>FINANCIAL!H25</f>
        <v>-38.6714219047619</v>
      </c>
      <c r="I50" s="130">
        <f>FINANCIAL!I25</f>
        <v>-38.6714219047619</v>
      </c>
      <c r="J50" s="130">
        <f>FINANCIAL!J25</f>
        <v>-38.6714219047619</v>
      </c>
      <c r="K50" s="130">
        <f>FINANCIAL!K25</f>
        <v>-38.6714219047619</v>
      </c>
      <c r="L50" s="130">
        <f>FINANCIAL!L25</f>
        <v>-38.6714219047619</v>
      </c>
      <c r="M50" s="130">
        <f>FINANCIAL!M25</f>
        <v>-38.6714219047619</v>
      </c>
      <c r="N50" s="130">
        <f>FINANCIAL!N25</f>
        <v>-38.6714219047619</v>
      </c>
      <c r="O50" s="18"/>
    </row>
    <row r="51" spans="2:15" ht="6.75" customHeight="1" x14ac:dyDescent="0.2">
      <c r="B51" s="68"/>
      <c r="C51" s="126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8"/>
    </row>
    <row r="52" spans="2:15" x14ac:dyDescent="0.2">
      <c r="B52" s="69" t="s">
        <v>0</v>
      </c>
      <c r="C52" s="126"/>
      <c r="D52" s="132">
        <f t="shared" ref="D52:N52" si="9">D48-D50</f>
        <v>3.2844221343770372</v>
      </c>
      <c r="E52" s="132">
        <f t="shared" si="9"/>
        <v>38.6714219047619</v>
      </c>
      <c r="F52" s="132">
        <f t="shared" si="9"/>
        <v>38.6714219047619</v>
      </c>
      <c r="G52" s="132">
        <f t="shared" si="9"/>
        <v>38.6714219047619</v>
      </c>
      <c r="H52" s="132">
        <f t="shared" si="9"/>
        <v>38.6714219047619</v>
      </c>
      <c r="I52" s="132">
        <f t="shared" si="9"/>
        <v>38.6714219047619</v>
      </c>
      <c r="J52" s="132">
        <f t="shared" si="9"/>
        <v>38.6714219047619</v>
      </c>
      <c r="K52" s="132">
        <f t="shared" si="9"/>
        <v>38.6714219047619</v>
      </c>
      <c r="L52" s="132">
        <f t="shared" si="9"/>
        <v>38.6714219047619</v>
      </c>
      <c r="M52" s="132">
        <f t="shared" si="9"/>
        <v>38.6714219047619</v>
      </c>
      <c r="N52" s="132">
        <f t="shared" si="9"/>
        <v>38.6714219047619</v>
      </c>
      <c r="O52" s="18"/>
    </row>
    <row r="53" spans="2:15" ht="6.75" customHeight="1" x14ac:dyDescent="0.2">
      <c r="B53" s="68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8"/>
    </row>
    <row r="54" spans="2:15" x14ac:dyDescent="0.2">
      <c r="B54" s="68" t="s">
        <v>13</v>
      </c>
      <c r="C54" s="126"/>
      <c r="D54" s="133">
        <f>FINANCIAL!D29</f>
        <v>-14.298592876712325</v>
      </c>
      <c r="E54" s="133">
        <f>FINANCIAL!E29</f>
        <v>-168.3544</v>
      </c>
      <c r="F54" s="133">
        <f>FINANCIAL!F29</f>
        <v>-168.3544</v>
      </c>
      <c r="G54" s="133">
        <f>FINANCIAL!G29</f>
        <v>-168.3544</v>
      </c>
      <c r="H54" s="133">
        <f>FINANCIAL!H29</f>
        <v>-168.3544</v>
      </c>
      <c r="I54" s="133">
        <f>FINANCIAL!I29</f>
        <v>-168.3544</v>
      </c>
      <c r="J54" s="133">
        <f>FINANCIAL!J29</f>
        <v>-168.3544</v>
      </c>
      <c r="K54" s="133">
        <f>FINANCIAL!K29</f>
        <v>-168.3544</v>
      </c>
      <c r="L54" s="133">
        <f>FINANCIAL!L29</f>
        <v>-168.3544</v>
      </c>
      <c r="M54" s="133">
        <f>FINANCIAL!M29</f>
        <v>-168.3544</v>
      </c>
      <c r="N54" s="133">
        <f>FINANCIAL!N29</f>
        <v>-168.3544</v>
      </c>
      <c r="O54" s="18"/>
    </row>
    <row r="55" spans="2:15" ht="6.75" customHeight="1" x14ac:dyDescent="0.2">
      <c r="B55" s="134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8"/>
    </row>
    <row r="56" spans="2:15" x14ac:dyDescent="0.2">
      <c r="B56" s="69" t="s">
        <v>63</v>
      </c>
      <c r="C56" s="124"/>
      <c r="D56" s="132">
        <f t="shared" ref="D56:N56" si="10">D52-D54</f>
        <v>17.583015011089362</v>
      </c>
      <c r="E56" s="132">
        <f t="shared" si="10"/>
        <v>207.0258219047619</v>
      </c>
      <c r="F56" s="132">
        <f t="shared" si="10"/>
        <v>207.0258219047619</v>
      </c>
      <c r="G56" s="132">
        <f t="shared" si="10"/>
        <v>207.0258219047619</v>
      </c>
      <c r="H56" s="132">
        <f t="shared" si="10"/>
        <v>207.0258219047619</v>
      </c>
      <c r="I56" s="132">
        <f t="shared" si="10"/>
        <v>207.0258219047619</v>
      </c>
      <c r="J56" s="132">
        <f t="shared" si="10"/>
        <v>207.0258219047619</v>
      </c>
      <c r="K56" s="132">
        <f t="shared" si="10"/>
        <v>207.0258219047619</v>
      </c>
      <c r="L56" s="132">
        <f t="shared" si="10"/>
        <v>207.0258219047619</v>
      </c>
      <c r="M56" s="132">
        <f t="shared" si="10"/>
        <v>207.0258219047619</v>
      </c>
      <c r="N56" s="132">
        <f t="shared" si="10"/>
        <v>207.0258219047619</v>
      </c>
      <c r="O56" s="18"/>
    </row>
    <row r="57" spans="2:15" ht="6.75" customHeight="1" x14ac:dyDescent="0.2">
      <c r="B57" s="68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8"/>
    </row>
    <row r="58" spans="2:15" x14ac:dyDescent="0.2">
      <c r="B58" s="129" t="s">
        <v>64</v>
      </c>
      <c r="C58" s="126"/>
      <c r="D58" s="130">
        <f>FINANCIAL!D33</f>
        <v>0</v>
      </c>
      <c r="E58" s="130">
        <f>FINANCIAL!E33</f>
        <v>0</v>
      </c>
      <c r="F58" s="130">
        <f>FINANCIAL!F33</f>
        <v>0</v>
      </c>
      <c r="G58" s="130">
        <f>FINANCIAL!G33</f>
        <v>0</v>
      </c>
      <c r="H58" s="130">
        <f>FINANCIAL!H33</f>
        <v>0</v>
      </c>
      <c r="I58" s="130">
        <f>FINANCIAL!I33</f>
        <v>0</v>
      </c>
      <c r="J58" s="130">
        <f>FINANCIAL!J33</f>
        <v>0</v>
      </c>
      <c r="K58" s="130">
        <f>FINANCIAL!K33</f>
        <v>0</v>
      </c>
      <c r="L58" s="130">
        <f>FINANCIAL!L33</f>
        <v>0</v>
      </c>
      <c r="M58" s="130">
        <f>FINANCIAL!M33</f>
        <v>0</v>
      </c>
      <c r="N58" s="130">
        <f>FINANCIAL!N33</f>
        <v>0</v>
      </c>
      <c r="O58" s="18"/>
    </row>
    <row r="59" spans="2:15" ht="6.75" customHeight="1" x14ac:dyDescent="0.2">
      <c r="B59" s="68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8"/>
    </row>
    <row r="60" spans="2:15" x14ac:dyDescent="0.2">
      <c r="B60" s="69" t="s">
        <v>18</v>
      </c>
      <c r="C60" s="124"/>
      <c r="D60" s="137">
        <f>D56-D58</f>
        <v>17.583015011089362</v>
      </c>
      <c r="E60" s="137">
        <f t="shared" ref="E60:N60" si="11">E56-E58</f>
        <v>207.0258219047619</v>
      </c>
      <c r="F60" s="137">
        <f t="shared" si="11"/>
        <v>207.0258219047619</v>
      </c>
      <c r="G60" s="137">
        <f t="shared" si="11"/>
        <v>207.0258219047619</v>
      </c>
      <c r="H60" s="137">
        <f t="shared" si="11"/>
        <v>207.0258219047619</v>
      </c>
      <c r="I60" s="137">
        <f t="shared" si="11"/>
        <v>207.0258219047619</v>
      </c>
      <c r="J60" s="137">
        <f t="shared" si="11"/>
        <v>207.0258219047619</v>
      </c>
      <c r="K60" s="137">
        <f t="shared" si="11"/>
        <v>207.0258219047619</v>
      </c>
      <c r="L60" s="137">
        <f t="shared" si="11"/>
        <v>207.0258219047619</v>
      </c>
      <c r="M60" s="137">
        <f t="shared" si="11"/>
        <v>207.0258219047619</v>
      </c>
      <c r="N60" s="137">
        <f t="shared" si="11"/>
        <v>207.0258219047619</v>
      </c>
      <c r="O60" s="18"/>
    </row>
    <row r="61" spans="2:15" ht="9" customHeight="1" thickBot="1" x14ac:dyDescent="0.25">
      <c r="B61" s="74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24"/>
    </row>
    <row r="62" spans="2:15" x14ac:dyDescent="0.2">
      <c r="B62" s="76" t="s">
        <v>76</v>
      </c>
      <c r="C62" s="77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9"/>
      <c r="O62" s="80"/>
    </row>
    <row r="63" spans="2:15" ht="13.5" thickBot="1" x14ac:dyDescent="0.25">
      <c r="B63" s="175" t="str">
        <f>"all figures in " &amp; Input_Units</f>
        <v>all figures in 1000</v>
      </c>
      <c r="C63" s="147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9"/>
      <c r="O63" s="144"/>
    </row>
    <row r="64" spans="2:15" s="142" customFormat="1" x14ac:dyDescent="0.2">
      <c r="B64" s="153" t="s">
        <v>20</v>
      </c>
      <c r="C64" s="154"/>
      <c r="D64" s="155">
        <f t="shared" ref="D64:N64" si="12">D45</f>
        <v>0</v>
      </c>
      <c r="E64" s="155">
        <f t="shared" si="12"/>
        <v>1</v>
      </c>
      <c r="F64" s="155">
        <f t="shared" si="12"/>
        <v>2</v>
      </c>
      <c r="G64" s="155">
        <f t="shared" si="12"/>
        <v>3</v>
      </c>
      <c r="H64" s="155">
        <f t="shared" si="12"/>
        <v>4</v>
      </c>
      <c r="I64" s="155">
        <f t="shared" si="12"/>
        <v>5</v>
      </c>
      <c r="J64" s="155">
        <f t="shared" si="12"/>
        <v>6</v>
      </c>
      <c r="K64" s="155">
        <f t="shared" si="12"/>
        <v>7</v>
      </c>
      <c r="L64" s="155">
        <f t="shared" si="12"/>
        <v>8</v>
      </c>
      <c r="M64" s="155">
        <f t="shared" si="12"/>
        <v>9</v>
      </c>
      <c r="N64" s="155">
        <f t="shared" si="12"/>
        <v>10</v>
      </c>
      <c r="O64" s="156"/>
    </row>
    <row r="65" spans="2:15" x14ac:dyDescent="0.2">
      <c r="B65" s="123" t="s">
        <v>19</v>
      </c>
      <c r="C65" s="124"/>
      <c r="D65" s="115">
        <f t="shared" ref="D65:N65" si="13">D46</f>
        <v>2017</v>
      </c>
      <c r="E65" s="115">
        <f t="shared" si="13"/>
        <v>2018</v>
      </c>
      <c r="F65" s="115">
        <f t="shared" si="13"/>
        <v>2019</v>
      </c>
      <c r="G65" s="115">
        <f t="shared" si="13"/>
        <v>2020</v>
      </c>
      <c r="H65" s="115">
        <f t="shared" si="13"/>
        <v>2021</v>
      </c>
      <c r="I65" s="115">
        <f t="shared" si="13"/>
        <v>2022</v>
      </c>
      <c r="J65" s="115">
        <f t="shared" si="13"/>
        <v>2023</v>
      </c>
      <c r="K65" s="115">
        <f t="shared" si="13"/>
        <v>2024</v>
      </c>
      <c r="L65" s="115">
        <f t="shared" si="13"/>
        <v>2025</v>
      </c>
      <c r="M65" s="115">
        <f t="shared" si="13"/>
        <v>2026</v>
      </c>
      <c r="N65" s="115">
        <f t="shared" si="13"/>
        <v>2027</v>
      </c>
      <c r="O65" s="139"/>
    </row>
    <row r="66" spans="2:15" ht="9" customHeight="1" x14ac:dyDescent="0.2">
      <c r="B66" s="68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39"/>
    </row>
    <row r="67" spans="2:15" x14ac:dyDescent="0.2">
      <c r="B67" s="68" t="s">
        <v>65</v>
      </c>
      <c r="C67" s="126"/>
      <c r="D67" s="133">
        <f>+IF(D$64&lt;Input_UsefulLife,DEPRECIATION!C17,IF(FINANCIAL!D$64=[0]!Input_UsefulLife,SUM(#REF!)-SUM(FINANCIAL!D67),0))</f>
        <v>3.0433789954337898</v>
      </c>
      <c r="E67" s="133">
        <f>+IF(E$64&lt;Input_UsefulLife,DEPRECIATION!D17,IF(FINANCIAL!E$64=[0]!Input_UsefulLife,SUM(FINANCIAL!$D40:$N40)-SUM(FINANCIAL!$D67),0))</f>
        <v>35.833333333333336</v>
      </c>
      <c r="F67" s="133">
        <f>+IF(F$64&lt;Input_UsefulLife,DEPRECIATION!E17,IF(FINANCIAL!F$64=[0]!Input_UsefulLife,SUM(FINANCIAL!$D40:$N40)-SUM(FINANCIAL!$D67:E67),0))</f>
        <v>35.833333333333336</v>
      </c>
      <c r="G67" s="133">
        <f>+IF(G$64&lt;Input_UsefulLife,DEPRECIATION!F17,IF(FINANCIAL!G$64=[0]!Input_UsefulLife,SUM(FINANCIAL!$D40:$N40)-SUM(FINANCIAL!$D67:F67),0))</f>
        <v>35.833333333333336</v>
      </c>
      <c r="H67" s="133">
        <f>+IF(H$64&lt;Input_UsefulLife,DEPRECIATION!G17,IF(FINANCIAL!H$64=[0]!Input_UsefulLife,SUM(FINANCIAL!$D40:$N40)-SUM(FINANCIAL!$D67:G67),0))</f>
        <v>35.833333333333336</v>
      </c>
      <c r="I67" s="133">
        <f>+IF(I$64&lt;Input_UsefulLife,DEPRECIATION!H17,IF(FINANCIAL!I$64=Input_UsefulLife,SUM(FINANCIAL!$D40:$N40)-SUM(FINANCIAL!$D67:H67),0))</f>
        <v>35.833333333333336</v>
      </c>
      <c r="J67" s="133">
        <f>+IF(J$64&lt;Input_UsefulLife,DEPRECIATION!I17,IF(FINANCIAL!J$64=[0]!Input_UsefulLife,SUM(FINANCIAL!$D40:$N40)-SUM(FINANCIAL!$D67:I67),0))</f>
        <v>35.833333333333336</v>
      </c>
      <c r="K67" s="133">
        <f>+IF(K$64&lt;Input_UsefulLife,DEPRECIATION!J17,IF(FINANCIAL!K$64=[0]!Input_UsefulLife,SUM(FINANCIAL!$D40:$N40)-SUM(FINANCIAL!$D67:J67),0))</f>
        <v>35.833333333333336</v>
      </c>
      <c r="L67" s="133">
        <f>+IF(L$64&lt;Input_UsefulLife,DEPRECIATION!K17,IF(FINANCIAL!L$64=[0]!Input_UsefulLife,SUM(FINANCIAL!$D40:$N40)-SUM(FINANCIAL!$D67:K67),0))</f>
        <v>35.833333333333336</v>
      </c>
      <c r="M67" s="133">
        <f>+IF(M$64&lt;Input_UsefulLife,DEPRECIATION!L17,IF(FINANCIAL!M$64=[0]!Input_UsefulLife,SUM(FINANCIAL!$D40:$N40)-SUM(FINANCIAL!$D67:L67),0))</f>
        <v>35.833333333333336</v>
      </c>
      <c r="N67" s="133">
        <f>+IF(N$64&lt;Input_UsefulLife,DEPRECIATION!M17,IF(FINANCIAL!N$64=[0]!Input_UsefulLife,SUM(FINANCIAL!$D40:$N40)-SUM(FINANCIAL!$D67:M67),0))</f>
        <v>104.45662100456616</v>
      </c>
      <c r="O67" s="139"/>
    </row>
    <row r="68" spans="2:15" ht="9" customHeight="1" x14ac:dyDescent="0.2">
      <c r="B68" s="68"/>
      <c r="C68" s="126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39"/>
    </row>
    <row r="69" spans="2:15" x14ac:dyDescent="0.2">
      <c r="B69" s="69" t="s">
        <v>22</v>
      </c>
      <c r="C69" s="124"/>
      <c r="D69" s="132">
        <f t="shared" ref="D69:N69" si="14">SUM(D67:D67)</f>
        <v>3.0433789954337898</v>
      </c>
      <c r="E69" s="132">
        <f t="shared" si="14"/>
        <v>35.833333333333336</v>
      </c>
      <c r="F69" s="132">
        <f t="shared" si="14"/>
        <v>35.833333333333336</v>
      </c>
      <c r="G69" s="132">
        <f t="shared" si="14"/>
        <v>35.833333333333336</v>
      </c>
      <c r="H69" s="132">
        <f t="shared" si="14"/>
        <v>35.833333333333336</v>
      </c>
      <c r="I69" s="132">
        <f t="shared" si="14"/>
        <v>35.833333333333336</v>
      </c>
      <c r="J69" s="132">
        <f t="shared" si="14"/>
        <v>35.833333333333336</v>
      </c>
      <c r="K69" s="132">
        <f t="shared" si="14"/>
        <v>35.833333333333336</v>
      </c>
      <c r="L69" s="132">
        <f t="shared" si="14"/>
        <v>35.833333333333336</v>
      </c>
      <c r="M69" s="132">
        <f t="shared" si="14"/>
        <v>35.833333333333336</v>
      </c>
      <c r="N69" s="132">
        <f t="shared" si="14"/>
        <v>104.45662100456616</v>
      </c>
      <c r="O69" s="139"/>
    </row>
    <row r="70" spans="2:15" ht="9" customHeight="1" thickBot="1" x14ac:dyDescent="0.25">
      <c r="B70" s="74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41"/>
    </row>
    <row r="71" spans="2:15" x14ac:dyDescent="0.2">
      <c r="B71" s="76" t="s">
        <v>77</v>
      </c>
      <c r="C71" s="77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9"/>
      <c r="O71" s="80"/>
    </row>
    <row r="72" spans="2:15" ht="13.5" thickBot="1" x14ac:dyDescent="0.25">
      <c r="B72" s="175" t="str">
        <f>"all figures in " &amp; Input_Units</f>
        <v>all figures in 1000</v>
      </c>
      <c r="C72" s="147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9"/>
      <c r="O72" s="144"/>
    </row>
    <row r="73" spans="2:15" x14ac:dyDescent="0.2">
      <c r="B73" s="157" t="s">
        <v>20</v>
      </c>
      <c r="C73" s="158"/>
      <c r="D73" s="159">
        <f t="shared" ref="D73:N73" si="15">D45</f>
        <v>0</v>
      </c>
      <c r="E73" s="159">
        <f t="shared" si="15"/>
        <v>1</v>
      </c>
      <c r="F73" s="159">
        <f t="shared" si="15"/>
        <v>2</v>
      </c>
      <c r="G73" s="159">
        <f t="shared" si="15"/>
        <v>3</v>
      </c>
      <c r="H73" s="159">
        <f t="shared" si="15"/>
        <v>4</v>
      </c>
      <c r="I73" s="159">
        <f t="shared" si="15"/>
        <v>5</v>
      </c>
      <c r="J73" s="159">
        <f t="shared" si="15"/>
        <v>6</v>
      </c>
      <c r="K73" s="159">
        <f t="shared" si="15"/>
        <v>7</v>
      </c>
      <c r="L73" s="159">
        <f t="shared" si="15"/>
        <v>8</v>
      </c>
      <c r="M73" s="159">
        <f t="shared" si="15"/>
        <v>9</v>
      </c>
      <c r="N73" s="159">
        <f t="shared" si="15"/>
        <v>10</v>
      </c>
      <c r="O73" s="146"/>
    </row>
    <row r="74" spans="2:15" x14ac:dyDescent="0.2">
      <c r="B74" s="30" t="s">
        <v>7</v>
      </c>
      <c r="C74" s="31"/>
      <c r="D74" s="1">
        <f t="shared" ref="D74:N74" si="16">D46</f>
        <v>2017</v>
      </c>
      <c r="E74" s="1">
        <f t="shared" si="16"/>
        <v>2018</v>
      </c>
      <c r="F74" s="1">
        <f t="shared" si="16"/>
        <v>2019</v>
      </c>
      <c r="G74" s="1">
        <f t="shared" si="16"/>
        <v>2020</v>
      </c>
      <c r="H74" s="1">
        <f t="shared" si="16"/>
        <v>2021</v>
      </c>
      <c r="I74" s="1">
        <f t="shared" si="16"/>
        <v>2022</v>
      </c>
      <c r="J74" s="1">
        <f t="shared" si="16"/>
        <v>2023</v>
      </c>
      <c r="K74" s="1">
        <f t="shared" si="16"/>
        <v>2024</v>
      </c>
      <c r="L74" s="1">
        <f t="shared" si="16"/>
        <v>2025</v>
      </c>
      <c r="M74" s="1">
        <f t="shared" si="16"/>
        <v>2026</v>
      </c>
      <c r="N74" s="1">
        <f t="shared" si="16"/>
        <v>2027</v>
      </c>
      <c r="O74" s="18"/>
    </row>
    <row r="75" spans="2:15" ht="6.75" customHeight="1" x14ac:dyDescent="0.2">
      <c r="B75" s="32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</row>
    <row r="76" spans="2:15" x14ac:dyDescent="0.2">
      <c r="B76" s="32" t="s">
        <v>1</v>
      </c>
      <c r="C76" s="17"/>
      <c r="D76" s="33">
        <f t="shared" ref="D76:N76" si="17">D48</f>
        <v>0</v>
      </c>
      <c r="E76" s="33">
        <f t="shared" si="17"/>
        <v>0</v>
      </c>
      <c r="F76" s="33">
        <f t="shared" si="17"/>
        <v>0</v>
      </c>
      <c r="G76" s="33">
        <f t="shared" si="17"/>
        <v>0</v>
      </c>
      <c r="H76" s="33">
        <f t="shared" si="17"/>
        <v>0</v>
      </c>
      <c r="I76" s="33">
        <f t="shared" si="17"/>
        <v>0</v>
      </c>
      <c r="J76" s="33">
        <f t="shared" si="17"/>
        <v>0</v>
      </c>
      <c r="K76" s="33">
        <f t="shared" si="17"/>
        <v>0</v>
      </c>
      <c r="L76" s="33">
        <f t="shared" si="17"/>
        <v>0</v>
      </c>
      <c r="M76" s="33">
        <f t="shared" si="17"/>
        <v>0</v>
      </c>
      <c r="N76" s="33">
        <f t="shared" si="17"/>
        <v>0</v>
      </c>
      <c r="O76" s="18"/>
    </row>
    <row r="77" spans="2:15" ht="6.75" customHeight="1" x14ac:dyDescent="0.2">
      <c r="B77" s="32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</row>
    <row r="78" spans="2:15" x14ac:dyDescent="0.2">
      <c r="B78" s="32" t="s">
        <v>23</v>
      </c>
      <c r="C78" s="17"/>
      <c r="D78" s="41">
        <f t="shared" ref="D78:N78" si="18">D60</f>
        <v>17.583015011089362</v>
      </c>
      <c r="E78" s="41">
        <f t="shared" si="18"/>
        <v>207.0258219047619</v>
      </c>
      <c r="F78" s="41">
        <f t="shared" si="18"/>
        <v>207.0258219047619</v>
      </c>
      <c r="G78" s="41">
        <f t="shared" si="18"/>
        <v>207.0258219047619</v>
      </c>
      <c r="H78" s="41">
        <f t="shared" si="18"/>
        <v>207.0258219047619</v>
      </c>
      <c r="I78" s="41">
        <f t="shared" si="18"/>
        <v>207.0258219047619</v>
      </c>
      <c r="J78" s="41">
        <f t="shared" si="18"/>
        <v>207.0258219047619</v>
      </c>
      <c r="K78" s="41">
        <f t="shared" si="18"/>
        <v>207.0258219047619</v>
      </c>
      <c r="L78" s="41">
        <f t="shared" si="18"/>
        <v>207.0258219047619</v>
      </c>
      <c r="M78" s="41">
        <f t="shared" si="18"/>
        <v>207.0258219047619</v>
      </c>
      <c r="N78" s="41">
        <f t="shared" si="18"/>
        <v>207.0258219047619</v>
      </c>
      <c r="O78" s="18"/>
    </row>
    <row r="79" spans="2:15" ht="6.75" customHeight="1" x14ac:dyDescent="0.2">
      <c r="B79" s="32"/>
      <c r="C79" s="17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18"/>
    </row>
    <row r="80" spans="2:15" x14ac:dyDescent="0.2">
      <c r="B80" s="32" t="s">
        <v>24</v>
      </c>
      <c r="C80" s="17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18"/>
    </row>
    <row r="81" spans="2:15" x14ac:dyDescent="0.2">
      <c r="B81" s="42" t="s">
        <v>25</v>
      </c>
      <c r="C81" s="43"/>
      <c r="D81" s="41">
        <f t="shared" ref="D81:N81" si="19">D69</f>
        <v>3.0433789954337898</v>
      </c>
      <c r="E81" s="41">
        <f t="shared" si="19"/>
        <v>35.833333333333336</v>
      </c>
      <c r="F81" s="41">
        <f t="shared" si="19"/>
        <v>35.833333333333336</v>
      </c>
      <c r="G81" s="41">
        <f t="shared" si="19"/>
        <v>35.833333333333336</v>
      </c>
      <c r="H81" s="41">
        <f t="shared" si="19"/>
        <v>35.833333333333336</v>
      </c>
      <c r="I81" s="41">
        <f t="shared" si="19"/>
        <v>35.833333333333336</v>
      </c>
      <c r="J81" s="41">
        <f t="shared" si="19"/>
        <v>35.833333333333336</v>
      </c>
      <c r="K81" s="41">
        <f t="shared" si="19"/>
        <v>35.833333333333336</v>
      </c>
      <c r="L81" s="41">
        <f t="shared" si="19"/>
        <v>35.833333333333336</v>
      </c>
      <c r="M81" s="41">
        <f t="shared" si="19"/>
        <v>35.833333333333336</v>
      </c>
      <c r="N81" s="41">
        <f t="shared" si="19"/>
        <v>104.45662100456616</v>
      </c>
      <c r="O81" s="18"/>
    </row>
    <row r="82" spans="2:15" ht="6.75" customHeight="1" x14ac:dyDescent="0.2">
      <c r="B82" s="34"/>
      <c r="C82" s="17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18"/>
    </row>
    <row r="83" spans="2:15" x14ac:dyDescent="0.2">
      <c r="B83" s="35" t="s">
        <v>26</v>
      </c>
      <c r="C83" s="39"/>
      <c r="D83" s="36">
        <f t="shared" ref="D83:N83" si="20">D78+D81</f>
        <v>20.626394006523153</v>
      </c>
      <c r="E83" s="36">
        <f t="shared" si="20"/>
        <v>242.85915523809524</v>
      </c>
      <c r="F83" s="36">
        <f t="shared" si="20"/>
        <v>242.85915523809524</v>
      </c>
      <c r="G83" s="36">
        <f t="shared" si="20"/>
        <v>242.85915523809524</v>
      </c>
      <c r="H83" s="36">
        <f t="shared" si="20"/>
        <v>242.85915523809524</v>
      </c>
      <c r="I83" s="36">
        <f t="shared" si="20"/>
        <v>242.85915523809524</v>
      </c>
      <c r="J83" s="36">
        <f t="shared" si="20"/>
        <v>242.85915523809524</v>
      </c>
      <c r="K83" s="36">
        <f t="shared" si="20"/>
        <v>242.85915523809524</v>
      </c>
      <c r="L83" s="36">
        <f t="shared" si="20"/>
        <v>242.85915523809524</v>
      </c>
      <c r="M83" s="36">
        <f t="shared" si="20"/>
        <v>242.85915523809524</v>
      </c>
      <c r="N83" s="36">
        <f t="shared" si="20"/>
        <v>311.48244290932803</v>
      </c>
      <c r="O83" s="18"/>
    </row>
    <row r="84" spans="2:15" ht="6.75" customHeight="1" x14ac:dyDescent="0.2">
      <c r="B84" s="32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</row>
    <row r="85" spans="2:15" x14ac:dyDescent="0.2">
      <c r="B85" s="32" t="s">
        <v>27</v>
      </c>
      <c r="C85" s="17"/>
      <c r="D85" s="45">
        <f t="shared" ref="D85:N85" si="21">Input_TaxRate</f>
        <v>0.37</v>
      </c>
      <c r="E85" s="45">
        <f t="shared" si="21"/>
        <v>0.37</v>
      </c>
      <c r="F85" s="45">
        <f t="shared" si="21"/>
        <v>0.37</v>
      </c>
      <c r="G85" s="45">
        <f t="shared" si="21"/>
        <v>0.37</v>
      </c>
      <c r="H85" s="45">
        <f t="shared" si="21"/>
        <v>0.37</v>
      </c>
      <c r="I85" s="45">
        <f t="shared" si="21"/>
        <v>0.37</v>
      </c>
      <c r="J85" s="45">
        <f t="shared" si="21"/>
        <v>0.37</v>
      </c>
      <c r="K85" s="45">
        <f t="shared" si="21"/>
        <v>0.37</v>
      </c>
      <c r="L85" s="45">
        <f t="shared" si="21"/>
        <v>0.37</v>
      </c>
      <c r="M85" s="45">
        <f t="shared" si="21"/>
        <v>0.37</v>
      </c>
      <c r="N85" s="45">
        <f t="shared" si="21"/>
        <v>0.37</v>
      </c>
      <c r="O85" s="18"/>
    </row>
    <row r="86" spans="2:15" ht="6.75" customHeight="1" x14ac:dyDescent="0.2">
      <c r="B86" s="32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</row>
    <row r="87" spans="2:15" x14ac:dyDescent="0.2">
      <c r="B87" s="32" t="s">
        <v>28</v>
      </c>
      <c r="C87" s="17"/>
      <c r="D87" s="41">
        <f t="shared" ref="D87:N87" si="22">D78*D85</f>
        <v>6.5057155541030642</v>
      </c>
      <c r="E87" s="41">
        <f t="shared" si="22"/>
        <v>76.599554104761907</v>
      </c>
      <c r="F87" s="41">
        <f t="shared" si="22"/>
        <v>76.599554104761907</v>
      </c>
      <c r="G87" s="41">
        <f t="shared" si="22"/>
        <v>76.599554104761907</v>
      </c>
      <c r="H87" s="41">
        <f t="shared" si="22"/>
        <v>76.599554104761907</v>
      </c>
      <c r="I87" s="41">
        <f t="shared" si="22"/>
        <v>76.599554104761907</v>
      </c>
      <c r="J87" s="41">
        <f t="shared" si="22"/>
        <v>76.599554104761907</v>
      </c>
      <c r="K87" s="41">
        <f t="shared" si="22"/>
        <v>76.599554104761907</v>
      </c>
      <c r="L87" s="41">
        <f t="shared" si="22"/>
        <v>76.599554104761907</v>
      </c>
      <c r="M87" s="41">
        <f t="shared" si="22"/>
        <v>76.599554104761907</v>
      </c>
      <c r="N87" s="41">
        <f t="shared" si="22"/>
        <v>76.599554104761907</v>
      </c>
      <c r="O87" s="18"/>
    </row>
    <row r="88" spans="2:15" ht="6.75" customHeight="1" x14ac:dyDescent="0.2">
      <c r="B88" s="34"/>
      <c r="C88" s="17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18"/>
    </row>
    <row r="89" spans="2:15" x14ac:dyDescent="0.2">
      <c r="B89" s="35" t="s">
        <v>29</v>
      </c>
      <c r="C89" s="39"/>
      <c r="D89" s="36">
        <f>D83-D87</f>
        <v>14.120678452420089</v>
      </c>
      <c r="E89" s="36">
        <f t="shared" ref="E89:N89" si="23">E83-E87</f>
        <v>166.25960113333332</v>
      </c>
      <c r="F89" s="36">
        <f t="shared" si="23"/>
        <v>166.25960113333332</v>
      </c>
      <c r="G89" s="36">
        <f t="shared" si="23"/>
        <v>166.25960113333332</v>
      </c>
      <c r="H89" s="36">
        <f t="shared" si="23"/>
        <v>166.25960113333332</v>
      </c>
      <c r="I89" s="36">
        <f t="shared" si="23"/>
        <v>166.25960113333332</v>
      </c>
      <c r="J89" s="36">
        <f t="shared" si="23"/>
        <v>166.25960113333332</v>
      </c>
      <c r="K89" s="36">
        <f t="shared" si="23"/>
        <v>166.25960113333332</v>
      </c>
      <c r="L89" s="36">
        <f t="shared" si="23"/>
        <v>166.25960113333332</v>
      </c>
      <c r="M89" s="36">
        <f t="shared" si="23"/>
        <v>166.25960113333332</v>
      </c>
      <c r="N89" s="36">
        <f t="shared" si="23"/>
        <v>234.88288880456611</v>
      </c>
      <c r="O89" s="18"/>
    </row>
    <row r="90" spans="2:15" ht="6.75" customHeight="1" x14ac:dyDescent="0.2">
      <c r="B90" s="32"/>
      <c r="C90" s="17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18"/>
    </row>
    <row r="91" spans="2:15" x14ac:dyDescent="0.2">
      <c r="B91" s="32" t="s">
        <v>21</v>
      </c>
      <c r="C91" s="17"/>
      <c r="D91" s="41">
        <f t="shared" ref="D91:N91" si="24">D40</f>
        <v>430</v>
      </c>
      <c r="E91" s="41">
        <f t="shared" si="24"/>
        <v>0</v>
      </c>
      <c r="F91" s="41">
        <f t="shared" si="24"/>
        <v>0</v>
      </c>
      <c r="G91" s="41">
        <f t="shared" si="24"/>
        <v>0</v>
      </c>
      <c r="H91" s="41">
        <f t="shared" si="24"/>
        <v>0</v>
      </c>
      <c r="I91" s="41">
        <f t="shared" si="24"/>
        <v>0</v>
      </c>
      <c r="J91" s="41">
        <f t="shared" si="24"/>
        <v>0</v>
      </c>
      <c r="K91" s="41">
        <f t="shared" si="24"/>
        <v>0</v>
      </c>
      <c r="L91" s="41">
        <f t="shared" si="24"/>
        <v>0</v>
      </c>
      <c r="M91" s="41">
        <f t="shared" si="24"/>
        <v>0</v>
      </c>
      <c r="N91" s="41">
        <f t="shared" si="24"/>
        <v>0</v>
      </c>
      <c r="O91" s="18"/>
    </row>
    <row r="92" spans="2:15" ht="6.75" customHeight="1" x14ac:dyDescent="0.2">
      <c r="B92" s="34"/>
      <c r="C92" s="17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18"/>
    </row>
    <row r="93" spans="2:15" x14ac:dyDescent="0.2">
      <c r="B93" s="35" t="s">
        <v>30</v>
      </c>
      <c r="C93" s="39"/>
      <c r="D93" s="36">
        <f>D89-D91</f>
        <v>-415.87932154757993</v>
      </c>
      <c r="E93" s="36">
        <f t="shared" ref="E93:N93" si="25">E89-E91</f>
        <v>166.25960113333332</v>
      </c>
      <c r="F93" s="36">
        <f t="shared" si="25"/>
        <v>166.25960113333332</v>
      </c>
      <c r="G93" s="36">
        <f t="shared" si="25"/>
        <v>166.25960113333332</v>
      </c>
      <c r="H93" s="36">
        <f t="shared" si="25"/>
        <v>166.25960113333332</v>
      </c>
      <c r="I93" s="36">
        <f t="shared" si="25"/>
        <v>166.25960113333332</v>
      </c>
      <c r="J93" s="36">
        <f t="shared" si="25"/>
        <v>166.25960113333332</v>
      </c>
      <c r="K93" s="36">
        <f t="shared" si="25"/>
        <v>166.25960113333332</v>
      </c>
      <c r="L93" s="36">
        <f t="shared" si="25"/>
        <v>166.25960113333332</v>
      </c>
      <c r="M93" s="36">
        <f t="shared" si="25"/>
        <v>166.25960113333332</v>
      </c>
      <c r="N93" s="36">
        <f t="shared" si="25"/>
        <v>234.88288880456611</v>
      </c>
      <c r="O93" s="18"/>
    </row>
    <row r="94" spans="2:15" ht="6.75" customHeight="1" x14ac:dyDescent="0.2">
      <c r="B94" s="32"/>
      <c r="C94" s="17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18"/>
    </row>
    <row r="95" spans="2:15" x14ac:dyDescent="0.2">
      <c r="B95" s="32" t="s">
        <v>6</v>
      </c>
      <c r="C95" s="39"/>
      <c r="D95" s="41">
        <f>D93</f>
        <v>-415.87932154757993</v>
      </c>
      <c r="E95" s="41">
        <f>SUM($D$93:E93)</f>
        <v>-249.61972041424661</v>
      </c>
      <c r="F95" s="41">
        <f>SUM($D$93:F93)</f>
        <v>-83.360119280913295</v>
      </c>
      <c r="G95" s="41">
        <f>SUM($D$93:G93)</f>
        <v>82.899481852420024</v>
      </c>
      <c r="H95" s="41">
        <f>SUM($D$93:H93)</f>
        <v>249.15908298575334</v>
      </c>
      <c r="I95" s="41">
        <f>SUM($D$93:I93)</f>
        <v>415.41868411908666</v>
      </c>
      <c r="J95" s="41">
        <f>SUM($D$93:J93)</f>
        <v>581.67828525241998</v>
      </c>
      <c r="K95" s="41">
        <f>SUM($D$93:K93)</f>
        <v>747.93788638575325</v>
      </c>
      <c r="L95" s="41">
        <f>SUM($D$93:L93)</f>
        <v>914.19748751908651</v>
      </c>
      <c r="M95" s="41">
        <f>SUM($D$93:M93)</f>
        <v>1080.4570886524198</v>
      </c>
      <c r="N95" s="41">
        <f>SUM($D$93:N93)</f>
        <v>1315.3399774569859</v>
      </c>
      <c r="O95" s="18"/>
    </row>
    <row r="96" spans="2:15" ht="6.75" customHeight="1" x14ac:dyDescent="0.2">
      <c r="B96" s="32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</row>
    <row r="97" spans="2:15" x14ac:dyDescent="0.2">
      <c r="B97" s="37" t="s">
        <v>31</v>
      </c>
      <c r="C97" s="38"/>
      <c r="D97" s="46">
        <v>1</v>
      </c>
      <c r="E97" s="46">
        <f t="shared" ref="E97:N97" si="26">1/(1+Input_WACC)^(E73)</f>
        <v>0.9174311926605504</v>
      </c>
      <c r="F97" s="46">
        <f t="shared" si="26"/>
        <v>0.84167999326655996</v>
      </c>
      <c r="G97" s="46">
        <f t="shared" si="26"/>
        <v>0.77218348006106419</v>
      </c>
      <c r="H97" s="46">
        <f t="shared" si="26"/>
        <v>0.7084252110651964</v>
      </c>
      <c r="I97" s="46">
        <f t="shared" si="26"/>
        <v>0.64993138629834524</v>
      </c>
      <c r="J97" s="46">
        <f t="shared" si="26"/>
        <v>0.5962673268792158</v>
      </c>
      <c r="K97" s="46">
        <f t="shared" si="26"/>
        <v>0.54703424484331731</v>
      </c>
      <c r="L97" s="46">
        <f t="shared" si="26"/>
        <v>0.50186627967276809</v>
      </c>
      <c r="M97" s="46">
        <f t="shared" si="26"/>
        <v>0.46042777951630098</v>
      </c>
      <c r="N97" s="46">
        <f t="shared" si="26"/>
        <v>0.42241080689568894</v>
      </c>
      <c r="O97" s="18"/>
    </row>
    <row r="98" spans="2:15" x14ac:dyDescent="0.2">
      <c r="B98" s="37" t="s">
        <v>32</v>
      </c>
      <c r="C98" s="38"/>
      <c r="D98" s="46">
        <v>1</v>
      </c>
      <c r="E98" s="46">
        <v>1</v>
      </c>
      <c r="F98" s="46">
        <v>1</v>
      </c>
      <c r="G98" s="46">
        <v>1</v>
      </c>
      <c r="H98" s="46">
        <v>1</v>
      </c>
      <c r="I98" s="46">
        <v>1</v>
      </c>
      <c r="J98" s="46">
        <v>1</v>
      </c>
      <c r="K98" s="46">
        <v>1</v>
      </c>
      <c r="L98" s="46">
        <v>1</v>
      </c>
      <c r="M98" s="46">
        <v>1</v>
      </c>
      <c r="N98" s="46">
        <v>1</v>
      </c>
      <c r="O98" s="18"/>
    </row>
    <row r="99" spans="2:15" ht="6.75" customHeight="1" x14ac:dyDescent="0.2">
      <c r="B99" s="32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</row>
    <row r="100" spans="2:15" x14ac:dyDescent="0.2">
      <c r="B100" s="35" t="s">
        <v>60</v>
      </c>
      <c r="C100" s="39"/>
      <c r="D100" s="40">
        <f>D93*D97*D98</f>
        <v>-415.87932154757993</v>
      </c>
      <c r="E100" s="40">
        <f t="shared" ref="E100:N100" si="27">E93*E97*E98</f>
        <v>152.53174415902137</v>
      </c>
      <c r="F100" s="40">
        <f>F93*F97*F98</f>
        <v>139.93737996240492</v>
      </c>
      <c r="G100" s="40">
        <f>G93*G97*G98</f>
        <v>128.38291739670177</v>
      </c>
      <c r="H100" s="40">
        <f t="shared" si="27"/>
        <v>117.78249302449703</v>
      </c>
      <c r="I100" s="40">
        <f t="shared" si="27"/>
        <v>108.05733304999725</v>
      </c>
      <c r="J100" s="40">
        <f t="shared" si="27"/>
        <v>99.135167935777289</v>
      </c>
      <c r="K100" s="40">
        <f t="shared" si="27"/>
        <v>90.949695353924142</v>
      </c>
      <c r="L100" s="40">
        <f t="shared" si="27"/>
        <v>83.440087480664332</v>
      </c>
      <c r="M100" s="40">
        <f t="shared" si="27"/>
        <v>76.550538973086532</v>
      </c>
      <c r="N100" s="40">
        <f t="shared" si="27"/>
        <v>99.217070585927146</v>
      </c>
      <c r="O100" s="18"/>
    </row>
    <row r="101" spans="2:15" ht="6" customHeight="1" x14ac:dyDescent="0.2">
      <c r="B101" s="35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18"/>
    </row>
    <row r="102" spans="2:15" x14ac:dyDescent="0.2">
      <c r="B102" s="32" t="s">
        <v>37</v>
      </c>
      <c r="C102" s="39"/>
      <c r="D102" s="41">
        <f>D100</f>
        <v>-415.87932154757993</v>
      </c>
      <c r="E102" s="41">
        <f>SUM($D$100:E100)</f>
        <v>-263.34757738855853</v>
      </c>
      <c r="F102" s="41">
        <f>SUM($D$100:F100)</f>
        <v>-123.41019742615362</v>
      </c>
      <c r="G102" s="41">
        <f>SUM($D$100:G100)</f>
        <v>4.9727199705481553</v>
      </c>
      <c r="H102" s="41">
        <f>SUM($D$100:H100)</f>
        <v>122.75521299504518</v>
      </c>
      <c r="I102" s="41">
        <f>SUM($D$100:I100)</f>
        <v>230.81254604504244</v>
      </c>
      <c r="J102" s="41">
        <f>SUM($D$100:J100)</f>
        <v>329.94771398081974</v>
      </c>
      <c r="K102" s="41">
        <f>SUM($D$100:K100)</f>
        <v>420.89740933474388</v>
      </c>
      <c r="L102" s="41">
        <f>SUM($D$100:L100)</f>
        <v>504.3374968154082</v>
      </c>
      <c r="M102" s="41">
        <f>SUM($D$100:M100)</f>
        <v>580.88803578849479</v>
      </c>
      <c r="N102" s="41">
        <f>SUM($D$100:N100)</f>
        <v>680.10510637442189</v>
      </c>
      <c r="O102" s="18"/>
    </row>
    <row r="103" spans="2:15" ht="6.75" customHeight="1" x14ac:dyDescent="0.2">
      <c r="B103" s="32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</row>
    <row r="104" spans="2:15" x14ac:dyDescent="0.2">
      <c r="B104" s="35" t="s">
        <v>33</v>
      </c>
      <c r="C104" s="39"/>
      <c r="D104" s="17"/>
      <c r="E104" s="47">
        <f>SUM(D100:N100)</f>
        <v>680.10510637442189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8"/>
    </row>
    <row r="105" spans="2:15" ht="13.5" thickBot="1" x14ac:dyDescent="0.25"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4"/>
    </row>
    <row r="106" spans="2:15" x14ac:dyDescent="0.2">
      <c r="B106" s="76" t="s">
        <v>78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9"/>
    </row>
    <row r="107" spans="2:15" ht="13.5" thickBot="1" x14ac:dyDescent="0.25">
      <c r="B107" s="175" t="str">
        <f>"all figures in " &amp; Input_Units</f>
        <v>all figures in 1000</v>
      </c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9"/>
    </row>
    <row r="108" spans="2:15" x14ac:dyDescent="0.2">
      <c r="B108" s="160" t="s">
        <v>20</v>
      </c>
      <c r="C108" s="161"/>
      <c r="D108" s="161"/>
      <c r="E108" s="162">
        <f t="shared" ref="E108:N108" si="28">D73</f>
        <v>0</v>
      </c>
      <c r="F108" s="162">
        <f t="shared" si="28"/>
        <v>1</v>
      </c>
      <c r="G108" s="162">
        <f t="shared" si="28"/>
        <v>2</v>
      </c>
      <c r="H108" s="162">
        <f t="shared" si="28"/>
        <v>3</v>
      </c>
      <c r="I108" s="162">
        <f t="shared" si="28"/>
        <v>4</v>
      </c>
      <c r="J108" s="162">
        <f t="shared" si="28"/>
        <v>5</v>
      </c>
      <c r="K108" s="162">
        <f t="shared" si="28"/>
        <v>6</v>
      </c>
      <c r="L108" s="162">
        <f t="shared" si="28"/>
        <v>7</v>
      </c>
      <c r="M108" s="162">
        <f t="shared" si="28"/>
        <v>8</v>
      </c>
      <c r="N108" s="162">
        <f t="shared" si="28"/>
        <v>9</v>
      </c>
      <c r="O108" s="163"/>
    </row>
    <row r="109" spans="2:15" x14ac:dyDescent="0.2">
      <c r="B109" s="48" t="s">
        <v>7</v>
      </c>
      <c r="C109" s="39"/>
      <c r="D109" s="17"/>
      <c r="E109" s="49">
        <f t="shared" ref="E109:N109" si="29">D74</f>
        <v>2017</v>
      </c>
      <c r="F109" s="49">
        <f t="shared" si="29"/>
        <v>2018</v>
      </c>
      <c r="G109" s="49">
        <f t="shared" si="29"/>
        <v>2019</v>
      </c>
      <c r="H109" s="49">
        <f t="shared" si="29"/>
        <v>2020</v>
      </c>
      <c r="I109" s="49">
        <f t="shared" si="29"/>
        <v>2021</v>
      </c>
      <c r="J109" s="49">
        <f t="shared" si="29"/>
        <v>2022</v>
      </c>
      <c r="K109" s="49">
        <f t="shared" si="29"/>
        <v>2023</v>
      </c>
      <c r="L109" s="49">
        <f t="shared" si="29"/>
        <v>2024</v>
      </c>
      <c r="M109" s="49">
        <f t="shared" si="29"/>
        <v>2025</v>
      </c>
      <c r="N109" s="49">
        <f t="shared" si="29"/>
        <v>2026</v>
      </c>
      <c r="O109" s="56"/>
    </row>
    <row r="110" spans="2:15" ht="6" customHeight="1" x14ac:dyDescent="0.2">
      <c r="B110" s="35"/>
      <c r="C110" s="39"/>
      <c r="D110" s="17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56"/>
    </row>
    <row r="111" spans="2:15" x14ac:dyDescent="0.2">
      <c r="B111" s="35"/>
      <c r="C111" s="39"/>
      <c r="D111" s="17"/>
      <c r="E111" s="50" t="s">
        <v>59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6"/>
    </row>
    <row r="112" spans="2:15" ht="13.5" thickBot="1" x14ac:dyDescent="0.25">
      <c r="B112" s="86" t="s">
        <v>61</v>
      </c>
      <c r="C112" s="52"/>
      <c r="D112" s="17"/>
      <c r="E112" s="53"/>
      <c r="F112" s="19"/>
      <c r="G112" s="19"/>
      <c r="H112" s="19"/>
      <c r="I112" s="19"/>
      <c r="J112" s="19"/>
      <c r="K112" s="19"/>
      <c r="L112" s="19"/>
      <c r="M112" s="19"/>
      <c r="N112" s="19"/>
      <c r="O112" s="56"/>
    </row>
    <row r="113" spans="2:15" ht="13.5" thickBot="1" x14ac:dyDescent="0.25">
      <c r="B113" s="86" t="s">
        <v>62</v>
      </c>
      <c r="C113" s="87"/>
      <c r="D113" s="59">
        <f>-D91-(D58*(1-Input_TaxRate))</f>
        <v>-430</v>
      </c>
      <c r="E113" s="25">
        <f>+D100-D113</f>
        <v>14.120678452420066</v>
      </c>
      <c r="F113" s="25">
        <f t="shared" ref="F113:N113" si="30">E93</f>
        <v>166.25960113333332</v>
      </c>
      <c r="G113" s="25">
        <f t="shared" si="30"/>
        <v>166.25960113333332</v>
      </c>
      <c r="H113" s="25">
        <f t="shared" si="30"/>
        <v>166.25960113333332</v>
      </c>
      <c r="I113" s="25">
        <f t="shared" si="30"/>
        <v>166.25960113333332</v>
      </c>
      <c r="J113" s="25">
        <f t="shared" si="30"/>
        <v>166.25960113333332</v>
      </c>
      <c r="K113" s="25">
        <f t="shared" si="30"/>
        <v>166.25960113333332</v>
      </c>
      <c r="L113" s="25">
        <f t="shared" si="30"/>
        <v>166.25960113333332</v>
      </c>
      <c r="M113" s="25">
        <f t="shared" si="30"/>
        <v>166.25960113333332</v>
      </c>
      <c r="N113" s="25">
        <f t="shared" si="30"/>
        <v>166.25960113333332</v>
      </c>
      <c r="O113" s="56"/>
    </row>
    <row r="114" spans="2:15" ht="13.5" thickBot="1" x14ac:dyDescent="0.25">
      <c r="B114" s="54"/>
      <c r="C114" s="55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4"/>
    </row>
    <row r="115" spans="2:15" ht="13.5" thickBot="1" x14ac:dyDescent="0.25">
      <c r="B115" s="83" t="s">
        <v>79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5"/>
      <c r="O115" s="85"/>
    </row>
    <row r="116" spans="2:15" x14ac:dyDescent="0.2">
      <c r="B116" s="60"/>
      <c r="C116" s="16" t="s">
        <v>19</v>
      </c>
      <c r="D116" s="61">
        <f t="shared" ref="D116:N116" si="31">D73</f>
        <v>0</v>
      </c>
      <c r="E116" s="61">
        <f t="shared" si="31"/>
        <v>1</v>
      </c>
      <c r="F116" s="61">
        <f t="shared" si="31"/>
        <v>2</v>
      </c>
      <c r="G116" s="61">
        <f t="shared" si="31"/>
        <v>3</v>
      </c>
      <c r="H116" s="61">
        <f t="shared" si="31"/>
        <v>4</v>
      </c>
      <c r="I116" s="61">
        <f t="shared" si="31"/>
        <v>5</v>
      </c>
      <c r="J116" s="61">
        <f t="shared" si="31"/>
        <v>6</v>
      </c>
      <c r="K116" s="61">
        <f t="shared" si="31"/>
        <v>7</v>
      </c>
      <c r="L116" s="61">
        <f t="shared" si="31"/>
        <v>8</v>
      </c>
      <c r="M116" s="61">
        <f t="shared" si="31"/>
        <v>9</v>
      </c>
      <c r="N116" s="61">
        <f t="shared" si="31"/>
        <v>10</v>
      </c>
      <c r="O116" s="18"/>
    </row>
    <row r="117" spans="2:15" x14ac:dyDescent="0.2">
      <c r="B117" s="42" t="s">
        <v>39</v>
      </c>
      <c r="C117" s="17"/>
      <c r="D117" s="62">
        <f>+IF(D95&lt;0,SUMMARY!C27*1,"less than 1 yr")</f>
        <v>8.4931506849315053E-2</v>
      </c>
      <c r="E117" s="21">
        <f>IF(E95&gt;0,-D95/E93,1)</f>
        <v>1</v>
      </c>
      <c r="F117" s="21">
        <f t="shared" ref="F117:N117" si="32">IF(E117=1,IF(F95&gt;0,-E95/F93,1),0)</f>
        <v>1</v>
      </c>
      <c r="G117" s="21">
        <f t="shared" si="32"/>
        <v>0.50138529572233204</v>
      </c>
      <c r="H117" s="21">
        <f t="shared" si="32"/>
        <v>0</v>
      </c>
      <c r="I117" s="21">
        <f t="shared" si="32"/>
        <v>0</v>
      </c>
      <c r="J117" s="21">
        <f t="shared" si="32"/>
        <v>0</v>
      </c>
      <c r="K117" s="21">
        <f t="shared" si="32"/>
        <v>0</v>
      </c>
      <c r="L117" s="21">
        <f t="shared" si="32"/>
        <v>0</v>
      </c>
      <c r="M117" s="21">
        <f t="shared" si="32"/>
        <v>0</v>
      </c>
      <c r="N117" s="21">
        <f t="shared" si="32"/>
        <v>0</v>
      </c>
      <c r="O117" s="18"/>
    </row>
    <row r="118" spans="2:15" x14ac:dyDescent="0.2">
      <c r="B118" s="42" t="s">
        <v>38</v>
      </c>
      <c r="C118" s="17"/>
      <c r="D118" s="62">
        <f>+D117</f>
        <v>8.4931506849315053E-2</v>
      </c>
      <c r="E118" s="21">
        <f>IF(E102&gt;0,-D102/E100,1)</f>
        <v>1</v>
      </c>
      <c r="F118" s="21">
        <f t="shared" ref="F118:N118" si="33">IF(E118=1,IF(F102&gt;0,-E102/F100,1),0)</f>
        <v>1</v>
      </c>
      <c r="G118" s="21">
        <f t="shared" si="33"/>
        <v>0.96126649813399623</v>
      </c>
      <c r="H118" s="21">
        <f t="shared" si="33"/>
        <v>0</v>
      </c>
      <c r="I118" s="21">
        <f t="shared" si="33"/>
        <v>0</v>
      </c>
      <c r="J118" s="21">
        <f t="shared" si="33"/>
        <v>0</v>
      </c>
      <c r="K118" s="21">
        <f t="shared" si="33"/>
        <v>0</v>
      </c>
      <c r="L118" s="21">
        <f t="shared" si="33"/>
        <v>0</v>
      </c>
      <c r="M118" s="21">
        <f t="shared" si="33"/>
        <v>0</v>
      </c>
      <c r="N118" s="21">
        <f t="shared" si="33"/>
        <v>0</v>
      </c>
      <c r="O118" s="18"/>
    </row>
    <row r="119" spans="2:15" ht="13.5" thickBot="1" x14ac:dyDescent="0.25"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4"/>
    </row>
  </sheetData>
  <sheetProtection password="CF05" sheet="1" objects="1" scenarios="1"/>
  <dataValidations disablePrompts="1" count="1">
    <dataValidation type="date" showInputMessage="1" showErrorMessage="1" errorTitle="Financial Model Error" error="Please make sure fiscal year end date entered above is most recent one prior to project start date." sqref="C5">
      <formula1>C4</formula1>
      <formula2>DATE(YEAR(C4)+1,MONTH(C4),DAY(C4))</formula2>
    </dataValidation>
  </dataValidations>
  <printOptions horizontalCentered="1"/>
  <pageMargins left="0.25" right="0.25" top="0" bottom="0" header="0.3" footer="0.3"/>
  <pageSetup scale="54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1"/>
    <pageSetUpPr autoPageBreaks="0"/>
  </sheetPr>
  <dimension ref="B1:Z17"/>
  <sheetViews>
    <sheetView showGridLines="0" zoomScale="80" zoomScaleNormal="70" workbookViewId="0">
      <selection activeCell="D44" sqref="D44"/>
    </sheetView>
  </sheetViews>
  <sheetFormatPr defaultColWidth="9.140625" defaultRowHeight="12.75" x14ac:dyDescent="0.2"/>
  <cols>
    <col min="1" max="1" width="2.7109375" style="26" customWidth="1"/>
    <col min="2" max="2" width="36.5703125" style="26" bestFit="1" customWidth="1"/>
    <col min="3" max="12" width="9.5703125" style="26" customWidth="1"/>
    <col min="13" max="13" width="10.42578125" style="26" customWidth="1"/>
    <col min="14" max="23" width="11.5703125" style="26" customWidth="1"/>
    <col min="24" max="24" width="0.85546875" style="26" customWidth="1"/>
    <col min="25" max="25" width="14" style="26" customWidth="1"/>
    <col min="26" max="26" width="2.140625" style="26" customWidth="1"/>
    <col min="27" max="16384" width="9.140625" style="26"/>
  </cols>
  <sheetData>
    <row r="1" spans="2:26" ht="13.5" thickBot="1" x14ac:dyDescent="0.25"/>
    <row r="2" spans="2:26" ht="13.5" customHeight="1" x14ac:dyDescent="0.2">
      <c r="B2" s="280" t="s">
        <v>40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1"/>
    </row>
    <row r="3" spans="2:26" ht="13.5" customHeight="1" x14ac:dyDescent="0.2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8"/>
    </row>
    <row r="4" spans="2:26" x14ac:dyDescent="0.2">
      <c r="B4" s="28"/>
      <c r="C4" s="65" t="s">
        <v>41</v>
      </c>
      <c r="D4" s="65" t="s">
        <v>41</v>
      </c>
      <c r="E4" s="65" t="s">
        <v>41</v>
      </c>
      <c r="F4" s="65" t="s">
        <v>41</v>
      </c>
      <c r="G4" s="65" t="s">
        <v>41</v>
      </c>
      <c r="H4" s="65" t="s">
        <v>41</v>
      </c>
      <c r="I4" s="65" t="s">
        <v>41</v>
      </c>
      <c r="J4" s="65" t="s">
        <v>41</v>
      </c>
      <c r="K4" s="65" t="s">
        <v>41</v>
      </c>
      <c r="L4" s="65" t="s">
        <v>41</v>
      </c>
      <c r="M4" s="65" t="s">
        <v>41</v>
      </c>
      <c r="N4" s="65" t="s">
        <v>41</v>
      </c>
      <c r="O4" s="65" t="s">
        <v>41</v>
      </c>
      <c r="P4" s="65" t="s">
        <v>41</v>
      </c>
      <c r="Q4" s="65" t="s">
        <v>41</v>
      </c>
      <c r="R4" s="65" t="s">
        <v>41</v>
      </c>
      <c r="S4" s="65" t="s">
        <v>41</v>
      </c>
      <c r="T4" s="65" t="s">
        <v>41</v>
      </c>
      <c r="U4" s="65" t="s">
        <v>41</v>
      </c>
      <c r="V4" s="65" t="s">
        <v>41</v>
      </c>
      <c r="W4" s="65" t="s">
        <v>41</v>
      </c>
      <c r="X4" s="3"/>
      <c r="Y4" s="2" t="s">
        <v>42</v>
      </c>
      <c r="Z4" s="66"/>
    </row>
    <row r="5" spans="2:26" x14ac:dyDescent="0.2">
      <c r="B5" s="193"/>
      <c r="C5" s="4">
        <v>0</v>
      </c>
      <c r="D5" s="4">
        <f t="shared" ref="D5:W5" si="0">C5+1</f>
        <v>1</v>
      </c>
      <c r="E5" s="4">
        <f t="shared" si="0"/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  <c r="I5" s="4">
        <f t="shared" si="0"/>
        <v>6</v>
      </c>
      <c r="J5" s="4">
        <f t="shared" si="0"/>
        <v>7</v>
      </c>
      <c r="K5" s="4">
        <f t="shared" si="0"/>
        <v>8</v>
      </c>
      <c r="L5" s="4">
        <f t="shared" si="0"/>
        <v>9</v>
      </c>
      <c r="M5" s="4">
        <f t="shared" si="0"/>
        <v>10</v>
      </c>
      <c r="N5" s="4">
        <f t="shared" si="0"/>
        <v>11</v>
      </c>
      <c r="O5" s="4">
        <f t="shared" si="0"/>
        <v>12</v>
      </c>
      <c r="P5" s="4">
        <f t="shared" si="0"/>
        <v>13</v>
      </c>
      <c r="Q5" s="4">
        <f t="shared" si="0"/>
        <v>14</v>
      </c>
      <c r="R5" s="4">
        <f t="shared" si="0"/>
        <v>15</v>
      </c>
      <c r="S5" s="4">
        <f t="shared" si="0"/>
        <v>16</v>
      </c>
      <c r="T5" s="4">
        <f t="shared" si="0"/>
        <v>17</v>
      </c>
      <c r="U5" s="4">
        <f t="shared" si="0"/>
        <v>18</v>
      </c>
      <c r="V5" s="4">
        <f t="shared" si="0"/>
        <v>19</v>
      </c>
      <c r="W5" s="4">
        <f t="shared" si="0"/>
        <v>20</v>
      </c>
      <c r="X5" s="5"/>
      <c r="Y5" s="3"/>
      <c r="Z5" s="66"/>
    </row>
    <row r="6" spans="2:26" x14ac:dyDescent="0.2">
      <c r="B6" s="20" t="s">
        <v>67</v>
      </c>
      <c r="C6" s="7">
        <f>Input_CalcYearZero</f>
        <v>2017</v>
      </c>
      <c r="D6" s="7">
        <f t="shared" ref="D6:W6" si="1">C6+1</f>
        <v>2018</v>
      </c>
      <c r="E6" s="7">
        <f t="shared" si="1"/>
        <v>2019</v>
      </c>
      <c r="F6" s="7">
        <f t="shared" si="1"/>
        <v>2020</v>
      </c>
      <c r="G6" s="7">
        <f t="shared" si="1"/>
        <v>2021</v>
      </c>
      <c r="H6" s="7">
        <f t="shared" si="1"/>
        <v>2022</v>
      </c>
      <c r="I6" s="7">
        <f t="shared" si="1"/>
        <v>2023</v>
      </c>
      <c r="J6" s="7">
        <f t="shared" si="1"/>
        <v>2024</v>
      </c>
      <c r="K6" s="7">
        <f t="shared" si="1"/>
        <v>2025</v>
      </c>
      <c r="L6" s="7">
        <f t="shared" si="1"/>
        <v>2026</v>
      </c>
      <c r="M6" s="7">
        <f t="shared" si="1"/>
        <v>2027</v>
      </c>
      <c r="N6" s="7">
        <f t="shared" si="1"/>
        <v>2028</v>
      </c>
      <c r="O6" s="7">
        <f t="shared" si="1"/>
        <v>2029</v>
      </c>
      <c r="P6" s="7">
        <f t="shared" si="1"/>
        <v>2030</v>
      </c>
      <c r="Q6" s="7">
        <f t="shared" si="1"/>
        <v>2031</v>
      </c>
      <c r="R6" s="7">
        <f t="shared" si="1"/>
        <v>2032</v>
      </c>
      <c r="S6" s="7">
        <f t="shared" si="1"/>
        <v>2033</v>
      </c>
      <c r="T6" s="7">
        <f t="shared" si="1"/>
        <v>2034</v>
      </c>
      <c r="U6" s="7">
        <f t="shared" si="1"/>
        <v>2035</v>
      </c>
      <c r="V6" s="7">
        <f t="shared" si="1"/>
        <v>2036</v>
      </c>
      <c r="W6" s="7">
        <f t="shared" si="1"/>
        <v>2037</v>
      </c>
      <c r="X6" s="6"/>
      <c r="Y6" s="8" t="s">
        <v>43</v>
      </c>
      <c r="Z6" s="66"/>
    </row>
    <row r="7" spans="2:26" x14ac:dyDescent="0.2">
      <c r="B7" s="70" t="s">
        <v>44</v>
      </c>
      <c r="C7" s="58">
        <f>IF(Input_Calc_StubYear&lt;1,Input_Calc_StubYear,0)*IF(SUMMARY!$C23="",0,IF((SUMMARY!$C23+0.1)&gt;DEPRECIATION!C$5,FINANCIAL!$D40/SUMMARY!$C23,0))</f>
        <v>3.0433789954337898</v>
      </c>
      <c r="D7" s="58">
        <f>IF(D$5=SUMMARY!$C23,FINANCIAL!$D40-SUM(DEPRECIATION!C7),IF(SUMMARY!$C23="",0,IF((SUMMARY!$C23+0.1)&gt;DEPRECIATION!D$5,FINANCIAL!$D40/SUMMARY!$C23,0)))</f>
        <v>35.833333333333336</v>
      </c>
      <c r="E7" s="58">
        <f>IF(E$5=SUMMARY!$C23,FINANCIAL!$D40-SUM(DEPRECIATION!$C7:D7),IF(SUMMARY!$C23="",0,IF((SUMMARY!$C23+0.1)&gt;DEPRECIATION!E$5,FINANCIAL!$D40/SUMMARY!$C23,0)))</f>
        <v>35.833333333333336</v>
      </c>
      <c r="F7" s="58">
        <f>IF(F$5=SUMMARY!$C23,FINANCIAL!$D40-SUM(DEPRECIATION!$C7:E7),IF(SUMMARY!$C23="",0,IF((SUMMARY!$C23+0.1)&gt;DEPRECIATION!F$5,FINANCIAL!$D40/SUMMARY!$C23,0)))</f>
        <v>35.833333333333336</v>
      </c>
      <c r="G7" s="58">
        <f>IF(G$5=SUMMARY!$C23,FINANCIAL!$D40-SUM(DEPRECIATION!$C7:F7),IF(SUMMARY!$C23="",0,IF((SUMMARY!$C23+0.1)&gt;DEPRECIATION!G$5,FINANCIAL!$D40/SUMMARY!$C23,0)))</f>
        <v>35.833333333333336</v>
      </c>
      <c r="H7" s="58">
        <f>IF(H$5=SUMMARY!$C23,FINANCIAL!$D40-SUM(DEPRECIATION!$C7:G7),IF(SUMMARY!$C23="",0,IF((SUMMARY!$C23+0.1)&gt;DEPRECIATION!H$5,FINANCIAL!$D40/SUMMARY!$C23,0)))</f>
        <v>35.833333333333336</v>
      </c>
      <c r="I7" s="58">
        <f>IF(I$5=SUMMARY!$C23,FINANCIAL!$D40-SUM(DEPRECIATION!$C7:H7),IF(SUMMARY!$C23="",0,IF((SUMMARY!$C23+0.1)&gt;DEPRECIATION!I$5,FINANCIAL!$D40/SUMMARY!$C23,0)))</f>
        <v>35.833333333333336</v>
      </c>
      <c r="J7" s="58">
        <f>IF(J$5=SUMMARY!$C23,FINANCIAL!$D40-SUM(DEPRECIATION!$C7:I7),IF(SUMMARY!$C23="",0,IF((SUMMARY!$C23+0.1)&gt;DEPRECIATION!J$5,FINANCIAL!$D40/SUMMARY!$C23,0)))</f>
        <v>35.833333333333336</v>
      </c>
      <c r="K7" s="58">
        <f>IF(K$5=SUMMARY!$C23,FINANCIAL!$D40-SUM(DEPRECIATION!$C7:J7),IF(SUMMARY!$C23="",0,IF((SUMMARY!$C23+0.1)&gt;DEPRECIATION!K$5,FINANCIAL!$D40/SUMMARY!$C23,0)))</f>
        <v>35.833333333333336</v>
      </c>
      <c r="L7" s="58">
        <f>IF(L$5=SUMMARY!$C23,FINANCIAL!$D40-SUM(DEPRECIATION!$C7:K7),IF(SUMMARY!$C23="",0,IF((SUMMARY!$C23+0.1)&gt;DEPRECIATION!L$5,FINANCIAL!$D40/SUMMARY!$C23,0)))</f>
        <v>35.833333333333336</v>
      </c>
      <c r="M7" s="58">
        <f>IF(M$5=SUMMARY!$C23,FINANCIAL!$D40-SUM(DEPRECIATION!$C7:L7),IF(SUMMARY!$C23="",0,IF((SUMMARY!$C23+0.1)&gt;DEPRECIATION!M$5,FINANCIAL!$D40/SUMMARY!$C23,0)))</f>
        <v>35.833333333333336</v>
      </c>
      <c r="N7" s="58">
        <f>IF(N$5=SUMMARY!$C23,FINANCIAL!$D40-SUM(DEPRECIATION!$C7:M7),IF(SUMMARY!$C23="",0,IF((SUMMARY!$C23+0.1)&gt;DEPRECIATION!N$5,FINANCIAL!$D40/SUMMARY!$C23,0)))</f>
        <v>35.833333333333336</v>
      </c>
      <c r="O7" s="58">
        <f>IF(O$5=SUMMARY!$C23,FINANCIAL!$D40-SUM(DEPRECIATION!$C7:N7),IF(SUMMARY!$C23="",0,IF((SUMMARY!$C23+0.1)&gt;DEPRECIATION!O$5,FINANCIAL!$D40/SUMMARY!$C23,0)))</f>
        <v>32.78995433789953</v>
      </c>
      <c r="P7" s="58">
        <f>IF(P$5=SUMMARY!$C23,FINANCIAL!$D40-SUM(DEPRECIATION!$C7:O7),IF(SUMMARY!$C23="",0,IF((SUMMARY!$C23+0.1)&gt;DEPRECIATION!P$5,FINANCIAL!$D40/SUMMARY!$C23,0)))</f>
        <v>0</v>
      </c>
      <c r="Q7" s="58">
        <f>IF(Q$5=SUMMARY!$C23,FINANCIAL!$D40-SUM(DEPRECIATION!$C7:P7),IF(SUMMARY!$C23="",0,IF((SUMMARY!$C23+0.1)&gt;DEPRECIATION!Q$5,FINANCIAL!$D40/SUMMARY!$C23,0)))</f>
        <v>0</v>
      </c>
      <c r="R7" s="58">
        <f>IF(R$5=SUMMARY!$C23,FINANCIAL!$D40-SUM(DEPRECIATION!$C7:Q7),IF(SUMMARY!$C23="",0,IF((SUMMARY!$C23+0.1)&gt;DEPRECIATION!R$5,FINANCIAL!$D40/SUMMARY!$C23,0)))</f>
        <v>0</v>
      </c>
      <c r="S7" s="58">
        <f>IF(S$5=SUMMARY!$C23,FINANCIAL!$D40-SUM(DEPRECIATION!$C7:R7),IF(SUMMARY!$C23="",0,IF((SUMMARY!$C23+0.1)&gt;DEPRECIATION!S$5,FINANCIAL!$D40/SUMMARY!$C23,0)))</f>
        <v>0</v>
      </c>
      <c r="T7" s="58">
        <f>IF(T$5=SUMMARY!$C23,FINANCIAL!$D40-SUM(DEPRECIATION!$C7:S7),IF(SUMMARY!$C23="",0,IF((SUMMARY!$C23+0.1)&gt;DEPRECIATION!T$5,FINANCIAL!$D40/SUMMARY!$C23,0)))</f>
        <v>0</v>
      </c>
      <c r="U7" s="58">
        <f>IF(U$5=SUMMARY!$C23,FINANCIAL!$D40-SUM(DEPRECIATION!$C7:T7),IF(SUMMARY!$C23="",0,IF((SUMMARY!$C23+0.1)&gt;DEPRECIATION!U$5,FINANCIAL!$D40/SUMMARY!$C23,0)))</f>
        <v>0</v>
      </c>
      <c r="V7" s="58">
        <f>IF(V$5=SUMMARY!$C23,FINANCIAL!$D40-SUM(DEPRECIATION!$C7:U7),IF(SUMMARY!$C23="",0,IF((SUMMARY!$C23+0.1)&gt;DEPRECIATION!V$5,FINANCIAL!$D40/SUMMARY!$C23,0)))</f>
        <v>0</v>
      </c>
      <c r="W7" s="58">
        <f>IF(W$5=SUMMARY!$C23,FINANCIAL!$D40-SUM(DEPRECIATION!$C7:V7),IF(SUMMARY!$C23="",0,IF((SUMMARY!$C23+0.1)&gt;DEPRECIATION!W$5,FINANCIAL!$D40/SUMMARY!$C23,0)))</f>
        <v>0</v>
      </c>
      <c r="X7" s="58"/>
      <c r="Y7" s="58">
        <f t="shared" ref="Y7" si="2">SUM(C7:W7)</f>
        <v>430</v>
      </c>
      <c r="Z7" s="66"/>
    </row>
    <row r="8" spans="2:26" x14ac:dyDescent="0.2">
      <c r="B8" s="70" t="s">
        <v>45</v>
      </c>
      <c r="C8" s="58"/>
      <c r="D8" s="58">
        <f>IF(SUMMARY!$C$27&lt;1,SUMMARY!$C$27,0)*IF(SUMMARY!$C23="",0,IF((SUMMARY!$C23+0.1)&gt;(DEPRECIATION!D$5-1),FINANCIAL!$E40/SUMMARY!$C23,0))</f>
        <v>0</v>
      </c>
      <c r="E8" s="58">
        <f>IF((E$5-1)=SUMMARY!$C23,FINANCIAL!$E40-SUM(DEPRECIATION!$D8:D8),IF(SUMMARY!$C23="",0,IF((SUMMARY!$C23+0.1)&gt;(DEPRECIATION!E$5-1),FINANCIAL!$E40/SUMMARY!$C23,0)))</f>
        <v>0</v>
      </c>
      <c r="F8" s="58">
        <f>IF((F$5-1)=SUMMARY!$C23,FINANCIAL!$E40-SUM(DEPRECIATION!$D8:E8),IF(SUMMARY!$C23="",0,IF((SUMMARY!$C23+0.1)&gt;(DEPRECIATION!F$5-1),FINANCIAL!$E40/SUMMARY!$C23,0)))</f>
        <v>0</v>
      </c>
      <c r="G8" s="58">
        <f>IF((G$5-1)=SUMMARY!$C23,FINANCIAL!$E40-SUM(DEPRECIATION!$D8:F8),IF(SUMMARY!$C23="",0,IF((SUMMARY!$C23+0.1)&gt;(DEPRECIATION!G$5-1),FINANCIAL!$E40/SUMMARY!$C23,0)))</f>
        <v>0</v>
      </c>
      <c r="H8" s="58">
        <f>IF((H$5-1)=SUMMARY!$C23,FINANCIAL!$E40-SUM(DEPRECIATION!$D8:G8),IF(SUMMARY!$C23="",0,IF((SUMMARY!$C23+0.1)&gt;(DEPRECIATION!H$5-1),FINANCIAL!$E40/SUMMARY!$C23,0)))</f>
        <v>0</v>
      </c>
      <c r="I8" s="58">
        <f>IF((I$5-1)=SUMMARY!$C23,FINANCIAL!$E40-SUM(DEPRECIATION!$D8:H8),IF(SUMMARY!$C23="",0,IF((SUMMARY!$C23+0.1)&gt;(DEPRECIATION!I$5-1),FINANCIAL!$E40/SUMMARY!$C23,0)))</f>
        <v>0</v>
      </c>
      <c r="J8" s="58">
        <f>IF((J$5-1)=SUMMARY!$C23,FINANCIAL!$E40-SUM(DEPRECIATION!$D8:I8),IF(SUMMARY!$C23="",0,IF((SUMMARY!$C23+0.1)&gt;(DEPRECIATION!J$5-1),FINANCIAL!$E40/SUMMARY!$C23,0)))</f>
        <v>0</v>
      </c>
      <c r="K8" s="58">
        <f>IF((K$5-1)=SUMMARY!$C23,FINANCIAL!$E40-SUM(DEPRECIATION!$D8:J8),IF(SUMMARY!$C23="",0,IF((SUMMARY!$C23+0.1)&gt;(DEPRECIATION!K$5-1),FINANCIAL!$E40/SUMMARY!$C23,0)))</f>
        <v>0</v>
      </c>
      <c r="L8" s="58">
        <f>IF((L$5-1)=SUMMARY!$C23,FINANCIAL!$E40-SUM(DEPRECIATION!$D8:K8),IF(SUMMARY!$C23="",0,IF((SUMMARY!$C23+0.1)&gt;(DEPRECIATION!L$5-1),FINANCIAL!$E40/SUMMARY!$C23,0)))</f>
        <v>0</v>
      </c>
      <c r="M8" s="58">
        <f>IF((M$5-1)=SUMMARY!$C23,FINANCIAL!$E40-SUM(DEPRECIATION!$D8:L8),IF(SUMMARY!$C23="",0,IF((SUMMARY!$C23+0.1)&gt;(DEPRECIATION!M$5-1),FINANCIAL!$E40/SUMMARY!$C23,0)))</f>
        <v>0</v>
      </c>
      <c r="N8" s="58">
        <f>IF((N$5-1)=SUMMARY!$C23,FINANCIAL!$E40-SUM(DEPRECIATION!$D8:M8),IF(SUMMARY!$C23="",0,IF((SUMMARY!$C23+0.1)&gt;(DEPRECIATION!N$5-1),FINANCIAL!$E40/SUMMARY!$C23,0)))</f>
        <v>0</v>
      </c>
      <c r="O8" s="58">
        <f>IF((O$5-1)=SUMMARY!$C23,FINANCIAL!$E40-SUM(DEPRECIATION!$D8:N8),IF(SUMMARY!$C23="",0,IF((SUMMARY!$C23+0.1)&gt;(DEPRECIATION!O$5-1),FINANCIAL!$E40/SUMMARY!$C23,0)))</f>
        <v>0</v>
      </c>
      <c r="P8" s="58">
        <f>IF((P$5-1)=SUMMARY!$C23,FINANCIAL!$E40-SUM(DEPRECIATION!$D8:O8),IF(SUMMARY!$C23="",0,IF((SUMMARY!$C23+0.1)&gt;(DEPRECIATION!P$5-1),FINANCIAL!$E40/SUMMARY!$C23,0)))</f>
        <v>0</v>
      </c>
      <c r="Q8" s="58">
        <f>IF((Q$5-1)=SUMMARY!$C23,FINANCIAL!$E40-SUM(DEPRECIATION!$D8:P8),IF(SUMMARY!$C23="",0,IF((SUMMARY!$C23+0.1)&gt;(DEPRECIATION!Q$5-1),FINANCIAL!$E40/SUMMARY!$C23,0)))</f>
        <v>0</v>
      </c>
      <c r="R8" s="58">
        <f>IF((R$5-1)=SUMMARY!$C23,FINANCIAL!$E40-SUM(DEPRECIATION!$D8:Q8),IF(SUMMARY!$C23="",0,IF((SUMMARY!$C23+0.1)&gt;(DEPRECIATION!R$5-1),FINANCIAL!$E40/SUMMARY!$C23,0)))</f>
        <v>0</v>
      </c>
      <c r="S8" s="58">
        <f>IF((S$5-1)=SUMMARY!$C23,FINANCIAL!$E40-SUM(DEPRECIATION!$D8:R8),IF(SUMMARY!$C23="",0,IF((SUMMARY!$C23+0.1)&gt;(DEPRECIATION!S$5-1),FINANCIAL!$E40/SUMMARY!$C23,0)))</f>
        <v>0</v>
      </c>
      <c r="T8" s="58">
        <f>IF((T$5-1)=SUMMARY!$C23,FINANCIAL!$E40-SUM(DEPRECIATION!$D8:S8),IF(SUMMARY!$C23="",0,IF((SUMMARY!$C23+0.1)&gt;(DEPRECIATION!T$5-1),FINANCIAL!$E40/SUMMARY!$C23,0)))</f>
        <v>0</v>
      </c>
      <c r="U8" s="58">
        <f>IF((U$5-1)=SUMMARY!$C23,FINANCIAL!$E40-SUM(DEPRECIATION!$D8:T8),IF(SUMMARY!$C23="",0,IF((SUMMARY!$C23+0.1)&gt;(DEPRECIATION!U$5-1),FINANCIAL!$E40/SUMMARY!$C23,0)))</f>
        <v>0</v>
      </c>
      <c r="V8" s="58">
        <f>IF((V$5-1)=SUMMARY!$C23,FINANCIAL!$E40-SUM(DEPRECIATION!$D8:U8),IF(SUMMARY!$C23="",0,IF((SUMMARY!$C23+0.1)&gt;(DEPRECIATION!V$5-1),FINANCIAL!$E40/SUMMARY!$C23,0)))</f>
        <v>0</v>
      </c>
      <c r="W8" s="58">
        <f>IF((W$5-1)=SUMMARY!$C23,FINANCIAL!$E40-SUM(DEPRECIATION!$D8:V8),IF(SUMMARY!$C23="",0,IF((SUMMARY!$C23+0.1)&gt;(DEPRECIATION!W$5-1),FINANCIAL!$E40/SUMMARY!$C23,0)))</f>
        <v>0</v>
      </c>
      <c r="X8" s="58">
        <f>IF((X$5-1)=SUMMARY!$C23,FINANCIAL!$E40-SUM(DEPRECIATION!$D8:W8),IF(SUMMARY!$C23="",0,IF((SUMMARY!$C23+0.1)&gt;(DEPRECIATION!X$5-1),FINANCIAL!$E40/SUMMARY!$C23,0)))</f>
        <v>0</v>
      </c>
      <c r="Y8" s="58">
        <f t="shared" ref="Y8" si="3">SUM(C8:W8)</f>
        <v>0</v>
      </c>
      <c r="Z8" s="66"/>
    </row>
    <row r="9" spans="2:26" x14ac:dyDescent="0.2">
      <c r="B9" s="70" t="s">
        <v>46</v>
      </c>
      <c r="C9" s="57"/>
      <c r="D9" s="57"/>
      <c r="E9" s="58">
        <f>IF(SUMMARY!$C23="",0,IF((SUMMARY!$C23+0.1)&gt;(DEPRECIATION!E$5-2),FINANCIAL!$F40/SUMMARY!$C23,0))</f>
        <v>0</v>
      </c>
      <c r="F9" s="58">
        <f>IF((F$5-2)=SUMMARY!$C23,FINANCIAL!$F40-SUM(DEPRECIATION!$D9:E9),IF(SUMMARY!$C23="",0,IF((SUMMARY!$C23+0.1)&gt;(DEPRECIATION!F$5-2),FINANCIAL!$F40/SUMMARY!$C23,0)))</f>
        <v>0</v>
      </c>
      <c r="G9" s="58">
        <f>IF((G$5-2)=SUMMARY!$C23,FINANCIAL!$F40-SUM(DEPRECIATION!$D9:F9),IF(SUMMARY!$C23="",0,IF((SUMMARY!$C23+0.1)&gt;(DEPRECIATION!G$5-2),FINANCIAL!$F40/SUMMARY!$C23,0)))</f>
        <v>0</v>
      </c>
      <c r="H9" s="58">
        <f>IF((H$5-2)=SUMMARY!$C23,FINANCIAL!$F40-SUM(DEPRECIATION!$D9:G9),IF(SUMMARY!$C23="",0,IF((SUMMARY!$C23+0.1)&gt;(DEPRECIATION!H$5-2),FINANCIAL!$F40/SUMMARY!$C23,0)))</f>
        <v>0</v>
      </c>
      <c r="I9" s="58">
        <f>IF((I$5-2)=SUMMARY!$C23,FINANCIAL!$F40-SUM(DEPRECIATION!$D9:H9),IF(SUMMARY!$C23="",0,IF((SUMMARY!$C23+0.1)&gt;(DEPRECIATION!I$5-2),FINANCIAL!$F40/SUMMARY!$C23,0)))</f>
        <v>0</v>
      </c>
      <c r="J9" s="58">
        <f>IF((J$5-2)=SUMMARY!$C23,FINANCIAL!$F40-SUM(DEPRECIATION!$D9:I9),IF(SUMMARY!$C23="",0,IF((SUMMARY!$C23+0.1)&gt;(DEPRECIATION!J$5-2),FINANCIAL!$F40/SUMMARY!$C23,0)))</f>
        <v>0</v>
      </c>
      <c r="K9" s="58">
        <f>IF((K$5-2)=SUMMARY!$C23,FINANCIAL!$F40-SUM(DEPRECIATION!$D9:J9),IF(SUMMARY!$C23="",0,IF((SUMMARY!$C23+0.1)&gt;(DEPRECIATION!K$5-2),FINANCIAL!$F40/SUMMARY!$C23,0)))</f>
        <v>0</v>
      </c>
      <c r="L9" s="58">
        <f>IF((L$5-2)=SUMMARY!$C23,FINANCIAL!$F40-SUM(DEPRECIATION!$D9:K9),IF(SUMMARY!$C23="",0,IF((SUMMARY!$C23+0.1)&gt;(DEPRECIATION!L$5-2),FINANCIAL!$F40/SUMMARY!$C23,0)))</f>
        <v>0</v>
      </c>
      <c r="M9" s="58">
        <f>IF((M$5-2)=SUMMARY!$C23,FINANCIAL!$F40-SUM(DEPRECIATION!$D9:L9),IF(SUMMARY!$C23="",0,IF((SUMMARY!$C23+0.1)&gt;(DEPRECIATION!M$5-2),FINANCIAL!$F40/SUMMARY!$C23,0)))</f>
        <v>0</v>
      </c>
      <c r="N9" s="58">
        <f>IF((N$5-2)=SUMMARY!$C23,FINANCIAL!$F40-SUM(DEPRECIATION!$D9:M9),IF(SUMMARY!$C23="",0,IF((SUMMARY!$C23+0.1)&gt;(DEPRECIATION!N$5-2),FINANCIAL!$F40/SUMMARY!$C23,0)))</f>
        <v>0</v>
      </c>
      <c r="O9" s="58">
        <f>IF((O$5-2)=SUMMARY!$C23,FINANCIAL!$F40-SUM(DEPRECIATION!$D9:N9),IF(SUMMARY!$C23="",0,IF((SUMMARY!$C23+0.1)&gt;(DEPRECIATION!O$5-2),FINANCIAL!$F40/SUMMARY!$C23,0)))</f>
        <v>0</v>
      </c>
      <c r="P9" s="58">
        <f>IF((P$5-2)=SUMMARY!$C23,FINANCIAL!$F40-SUM(DEPRECIATION!$D9:O9),IF(SUMMARY!$C23="",0,IF((SUMMARY!$C23+0.1)&gt;(DEPRECIATION!P$5-2),FINANCIAL!$F40/SUMMARY!$C23,0)))</f>
        <v>0</v>
      </c>
      <c r="Q9" s="58">
        <f>IF((Q$5-2)=SUMMARY!$C23,FINANCIAL!$F40-SUM(DEPRECIATION!$D9:P9),IF(SUMMARY!$C23="",0,IF((SUMMARY!$C23+0.1)&gt;(DEPRECIATION!Q$5-2),FINANCIAL!$F40/SUMMARY!$C23,0)))</f>
        <v>0</v>
      </c>
      <c r="R9" s="58">
        <f>IF((R$5-2)=SUMMARY!$C23,FINANCIAL!$F40-SUM(DEPRECIATION!$D9:Q9),IF(SUMMARY!$C23="",0,IF((SUMMARY!$C23+0.1)&gt;(DEPRECIATION!R$5-2),FINANCIAL!$F40/SUMMARY!$C23,0)))</f>
        <v>0</v>
      </c>
      <c r="S9" s="58">
        <f>IF((S$5-2)=SUMMARY!$C23,FINANCIAL!$F40-SUM(DEPRECIATION!$D9:R9),IF(SUMMARY!$C23="",0,IF((SUMMARY!$C23+0.1)&gt;(DEPRECIATION!S$5-2),FINANCIAL!$F40/SUMMARY!$C23,0)))</f>
        <v>0</v>
      </c>
      <c r="T9" s="58">
        <f>IF((T$5-2)=SUMMARY!$C23,FINANCIAL!$F40-SUM(DEPRECIATION!$D9:S9),IF(SUMMARY!$C23="",0,IF((SUMMARY!$C23+0.1)&gt;(DEPRECIATION!T$5-2),FINANCIAL!$F40/SUMMARY!$C23,0)))</f>
        <v>0</v>
      </c>
      <c r="U9" s="58">
        <f>IF((U$5-2)=SUMMARY!$C23,FINANCIAL!$F40-SUM(DEPRECIATION!$D9:T9),IF(SUMMARY!$C23="",0,IF((SUMMARY!$C23+0.1)&gt;(DEPRECIATION!U$5-2),FINANCIAL!$F40/SUMMARY!$C23,0)))</f>
        <v>0</v>
      </c>
      <c r="V9" s="58">
        <f>IF((V$5-2)=SUMMARY!$C23,FINANCIAL!$F40-SUM(DEPRECIATION!$D9:U9),IF(SUMMARY!$C23="",0,IF((SUMMARY!$C23+0.1)&gt;(DEPRECIATION!V$5-2),FINANCIAL!$F40/SUMMARY!$C23,0)))</f>
        <v>0</v>
      </c>
      <c r="W9" s="58">
        <f>IF((W$5-2)=SUMMARY!$C23,FINANCIAL!$F40-SUM(DEPRECIATION!$D9:V9),IF(SUMMARY!$C23="",0,IF((SUMMARY!$C23+0.1)&gt;(DEPRECIATION!W$5-2),FINANCIAL!$F40/SUMMARY!$C23,0)))</f>
        <v>0</v>
      </c>
      <c r="X9" s="58">
        <f>IF((X$5-2)=SUMMARY!$C23,FINANCIAL!$F40-SUM(DEPRECIATION!$D9:W9),IF(SUMMARY!$C23="",0,IF((SUMMARY!$C23+0.1)&gt;(DEPRECIATION!X$5-2),FINANCIAL!$F40/SUMMARY!$C23,0)))</f>
        <v>0</v>
      </c>
      <c r="Y9" s="58">
        <f t="shared" ref="Y9" si="4">SUM(C9:W9)</f>
        <v>0</v>
      </c>
      <c r="Z9" s="66"/>
    </row>
    <row r="10" spans="2:26" x14ac:dyDescent="0.2">
      <c r="B10" s="70" t="s">
        <v>47</v>
      </c>
      <c r="C10" s="57"/>
      <c r="D10" s="57"/>
      <c r="E10" s="57"/>
      <c r="F10" s="58">
        <f>IF(SUMMARY!$C23="",0,IF((SUMMARY!$C23+0.1)&gt;(DEPRECIATION!F$5-3),FINANCIAL!$G40/SUMMARY!$C23,0))</f>
        <v>0</v>
      </c>
      <c r="G10" s="58">
        <f>IF((G$5-3)=SUMMARY!$C23,FINANCIAL!$G40-SUM(DEPRECIATION!$D10:F10),IF(SUMMARY!$C23="",0,IF((SUMMARY!$C23+0.1)&gt;(DEPRECIATION!G$5-3),FINANCIAL!$G40/SUMMARY!$C23,0)))</f>
        <v>0</v>
      </c>
      <c r="H10" s="58">
        <f>IF((H$5-3)=SUMMARY!$C23,FINANCIAL!$G40-SUM(DEPRECIATION!$D10:G10),IF(SUMMARY!$C23="",0,IF((SUMMARY!$C23+0.1)&gt;(DEPRECIATION!H$5-3),FINANCIAL!$G40/SUMMARY!$C23,0)))</f>
        <v>0</v>
      </c>
      <c r="I10" s="58">
        <f>IF((I$5-3)=SUMMARY!$C23,FINANCIAL!$G40-SUM(DEPRECIATION!$D10:H10),IF(SUMMARY!$C23="",0,IF((SUMMARY!$C23+0.1)&gt;(DEPRECIATION!I$5-3),FINANCIAL!$G40/SUMMARY!$C23,0)))</f>
        <v>0</v>
      </c>
      <c r="J10" s="58">
        <f>IF((J$5-3)=SUMMARY!$C23,FINANCIAL!$G40-SUM(DEPRECIATION!$D10:I10),IF(SUMMARY!$C23="",0,IF((SUMMARY!$C23+0.1)&gt;(DEPRECIATION!J$5-3),FINANCIAL!$G40/SUMMARY!$C23,0)))</f>
        <v>0</v>
      </c>
      <c r="K10" s="58">
        <f>IF((K$5-3)=SUMMARY!$C23,FINANCIAL!$G40-SUM(DEPRECIATION!$D10:J10),IF(SUMMARY!$C23="",0,IF((SUMMARY!$C23+0.1)&gt;(DEPRECIATION!K$5-3),FINANCIAL!$G40/SUMMARY!$C23,0)))</f>
        <v>0</v>
      </c>
      <c r="L10" s="58">
        <f>IF((L$5-3)=SUMMARY!$C23,FINANCIAL!$G40-SUM(DEPRECIATION!$D10:K10),IF(SUMMARY!$C23="",0,IF((SUMMARY!$C23+0.1)&gt;(DEPRECIATION!L$5-3),FINANCIAL!$G40/SUMMARY!$C23,0)))</f>
        <v>0</v>
      </c>
      <c r="M10" s="58">
        <f>IF((M$5-3)=SUMMARY!$C23,FINANCIAL!$G40-SUM(DEPRECIATION!$D10:L10),IF(SUMMARY!$C23="",0,IF((SUMMARY!$C23+0.1)&gt;(DEPRECIATION!M$5-3),FINANCIAL!$G40/SUMMARY!$C23,0)))</f>
        <v>0</v>
      </c>
      <c r="N10" s="58">
        <f>IF((N$5-3)=SUMMARY!$C23,FINANCIAL!$G40-SUM(DEPRECIATION!$D10:M10),IF(SUMMARY!$C23="",0,IF((SUMMARY!$C23+0.1)&gt;(DEPRECIATION!N$5-3),FINANCIAL!$G40/SUMMARY!$C23,0)))</f>
        <v>0</v>
      </c>
      <c r="O10" s="58">
        <f>IF((O$5-3)=SUMMARY!$C23,FINANCIAL!$G40-SUM(DEPRECIATION!$D10:N10),IF(SUMMARY!$C23="",0,IF((SUMMARY!$C23+0.1)&gt;(DEPRECIATION!O$5-3),FINANCIAL!$G40/SUMMARY!$C23,0)))</f>
        <v>0</v>
      </c>
      <c r="P10" s="58">
        <f>IF((P$5-3)=SUMMARY!$C23,FINANCIAL!$G40-SUM(DEPRECIATION!$D10:O10),IF(SUMMARY!$C23="",0,IF((SUMMARY!$C23+0.1)&gt;(DEPRECIATION!P$5-3),FINANCIAL!$G40/SUMMARY!$C23,0)))</f>
        <v>0</v>
      </c>
      <c r="Q10" s="58">
        <f>IF((Q$5-3)=SUMMARY!$C23,FINANCIAL!$G40-SUM(DEPRECIATION!$D10:P10),IF(SUMMARY!$C23="",0,IF((SUMMARY!$C23+0.1)&gt;(DEPRECIATION!Q$5-3),FINANCIAL!$G40/SUMMARY!$C23,0)))</f>
        <v>0</v>
      </c>
      <c r="R10" s="58">
        <f>IF((R$5-3)=SUMMARY!$C23,FINANCIAL!$G40-SUM(DEPRECIATION!$D10:Q10),IF(SUMMARY!$C23="",0,IF((SUMMARY!$C23+0.1)&gt;(DEPRECIATION!R$5-3),FINANCIAL!$G40/SUMMARY!$C23,0)))</f>
        <v>0</v>
      </c>
      <c r="S10" s="58">
        <f>IF((S$5-3)=SUMMARY!$C23,FINANCIAL!$G40-SUM(DEPRECIATION!$D10:R10),IF(SUMMARY!$C23="",0,IF((SUMMARY!$C23+0.1)&gt;(DEPRECIATION!S$5-3),FINANCIAL!$G40/SUMMARY!$C23,0)))</f>
        <v>0</v>
      </c>
      <c r="T10" s="58">
        <f>IF((T$5-3)=SUMMARY!$C23,FINANCIAL!$G40-SUM(DEPRECIATION!$D10:S10),IF(SUMMARY!$C23="",0,IF((SUMMARY!$C23+0.1)&gt;(DEPRECIATION!T$5-3),FINANCIAL!$G40/SUMMARY!$C23,0)))</f>
        <v>0</v>
      </c>
      <c r="U10" s="58">
        <f>IF((U$5-3)=SUMMARY!$C23,FINANCIAL!$G40-SUM(DEPRECIATION!$D10:T10),IF(SUMMARY!$C23="",0,IF((SUMMARY!$C23+0.1)&gt;(DEPRECIATION!U$5-3),FINANCIAL!$G40/SUMMARY!$C23,0)))</f>
        <v>0</v>
      </c>
      <c r="V10" s="58">
        <f>IF((V$5-3)=SUMMARY!$C23,FINANCIAL!$G40-SUM(DEPRECIATION!$D10:U10),IF(SUMMARY!$C23="",0,IF((SUMMARY!$C23+0.1)&gt;(DEPRECIATION!V$5-3),FINANCIAL!$G40/SUMMARY!$C23,0)))</f>
        <v>0</v>
      </c>
      <c r="W10" s="58">
        <f>IF((W$5-3)=SUMMARY!$C23,FINANCIAL!$G40-SUM(DEPRECIATION!$D10:V10),IF(SUMMARY!$C23="",0,IF((SUMMARY!$C23+0.1)&gt;(DEPRECIATION!W$5-3),FINANCIAL!$G40/SUMMARY!$C23,0)))</f>
        <v>0</v>
      </c>
      <c r="X10" s="57"/>
      <c r="Y10" s="58">
        <f t="shared" ref="Y10" si="5">SUM(C10:W10)</f>
        <v>0</v>
      </c>
      <c r="Z10" s="66"/>
    </row>
    <row r="11" spans="2:26" x14ac:dyDescent="0.2">
      <c r="B11" s="70" t="s">
        <v>48</v>
      </c>
      <c r="C11" s="57"/>
      <c r="D11" s="57"/>
      <c r="E11" s="57"/>
      <c r="F11" s="57"/>
      <c r="G11" s="58">
        <f>IF(SUMMARY!$C23="",0,IF((SUMMARY!$C23+0.1)&gt;(DEPRECIATION!G$5-4),FINANCIAL!$H40/SUMMARY!$C23,0))</f>
        <v>0</v>
      </c>
      <c r="H11" s="58">
        <f>IF((H$5-4)=SUMMARY!$C23,FINANCIAL!$H40-SUM(DEPRECIATION!$D11:G11),IF(SUMMARY!$C23="",0,IF((SUMMARY!$C23+0.1)&gt;(DEPRECIATION!H$5-4),FINANCIAL!$H40/SUMMARY!$C23,0)))</f>
        <v>0</v>
      </c>
      <c r="I11" s="58">
        <f>IF((I$5-4)=SUMMARY!$C23,FINANCIAL!$H40-SUM(DEPRECIATION!$D11:H11),IF(SUMMARY!$C23="",0,IF((SUMMARY!$C23+0.1)&gt;(DEPRECIATION!I$5-4),FINANCIAL!$H40/SUMMARY!$C23,0)))</f>
        <v>0</v>
      </c>
      <c r="J11" s="58">
        <f>IF((J$5-4)=SUMMARY!$C23,FINANCIAL!$H40-SUM(DEPRECIATION!$D11:I11),IF(SUMMARY!$C23="",0,IF((SUMMARY!$C23+0.1)&gt;(DEPRECIATION!J$5-4),FINANCIAL!$H40/SUMMARY!$C23,0)))</f>
        <v>0</v>
      </c>
      <c r="K11" s="58">
        <f>IF((K$5-4)=SUMMARY!$C23,FINANCIAL!$H40-SUM(DEPRECIATION!$D11:J11),IF(SUMMARY!$C23="",0,IF((SUMMARY!$C23+0.1)&gt;(DEPRECIATION!K$5-4),FINANCIAL!$H40/SUMMARY!$C23,0)))</f>
        <v>0</v>
      </c>
      <c r="L11" s="58">
        <f>IF((L$5-4)=SUMMARY!$C23,FINANCIAL!$H40-SUM(DEPRECIATION!$D11:K11),IF(SUMMARY!$C23="",0,IF((SUMMARY!$C23+0.1)&gt;(DEPRECIATION!L$5-4),FINANCIAL!$H40/SUMMARY!$C23,0)))</f>
        <v>0</v>
      </c>
      <c r="M11" s="58">
        <f>IF((M$5-4)=SUMMARY!$C23,FINANCIAL!$H40-SUM(DEPRECIATION!$D11:L11),IF(SUMMARY!$C23="",0,IF((SUMMARY!$C23+0.1)&gt;(DEPRECIATION!M$5-4),FINANCIAL!$H40/SUMMARY!$C23,0)))</f>
        <v>0</v>
      </c>
      <c r="N11" s="58">
        <f>IF((N$5-4)=SUMMARY!$C23,FINANCIAL!$H40-SUM(DEPRECIATION!$D11:M11),IF(SUMMARY!$C23="",0,IF((SUMMARY!$C23+0.1)&gt;(DEPRECIATION!N$5-4),FINANCIAL!$H40/SUMMARY!$C23,0)))</f>
        <v>0</v>
      </c>
      <c r="O11" s="58">
        <f>IF((O$5-4)=SUMMARY!$C23,FINANCIAL!$H40-SUM(DEPRECIATION!$D11:N11),IF(SUMMARY!$C23="",0,IF((SUMMARY!$C23+0.1)&gt;(DEPRECIATION!O$5-4),FINANCIAL!$H40/SUMMARY!$C23,0)))</f>
        <v>0</v>
      </c>
      <c r="P11" s="58">
        <f>IF((P$5-4)=SUMMARY!$C23,FINANCIAL!$H40-SUM(DEPRECIATION!$D11:O11),IF(SUMMARY!$C23="",0,IF((SUMMARY!$C23+0.1)&gt;(DEPRECIATION!P$5-4),FINANCIAL!$H40/SUMMARY!$C23,0)))</f>
        <v>0</v>
      </c>
      <c r="Q11" s="58">
        <f>IF((Q$5-4)=SUMMARY!$C23,FINANCIAL!$H40-SUM(DEPRECIATION!$D11:P11),IF(SUMMARY!$C23="",0,IF((SUMMARY!$C23+0.1)&gt;(DEPRECIATION!Q$5-4),FINANCIAL!$H40/SUMMARY!$C23,0)))</f>
        <v>0</v>
      </c>
      <c r="R11" s="58">
        <f>IF((R$5-4)=SUMMARY!$C23,FINANCIAL!$H40-SUM(DEPRECIATION!$D11:Q11),IF(SUMMARY!$C23="",0,IF((SUMMARY!$C23+0.1)&gt;(DEPRECIATION!R$5-4),FINANCIAL!$H40/SUMMARY!$C23,0)))</f>
        <v>0</v>
      </c>
      <c r="S11" s="58">
        <f>IF((S$5-4)=SUMMARY!$C23,FINANCIAL!$H40-SUM(DEPRECIATION!$D11:R11),IF(SUMMARY!$C23="",0,IF((SUMMARY!$C23+0.1)&gt;(DEPRECIATION!S$5-4),FINANCIAL!$H40/SUMMARY!$C23,0)))</f>
        <v>0</v>
      </c>
      <c r="T11" s="58">
        <f>IF((T$5-4)=SUMMARY!$C23,FINANCIAL!$H40-SUM(DEPRECIATION!$D11:S11),IF(SUMMARY!$C23="",0,IF((SUMMARY!$C23+0.1)&gt;(DEPRECIATION!T$5-4),FINANCIAL!$H40/SUMMARY!$C23,0)))</f>
        <v>0</v>
      </c>
      <c r="U11" s="58">
        <f>IF((U$5-4)=SUMMARY!$C23,FINANCIAL!$H40-SUM(DEPRECIATION!$D11:T11),IF(SUMMARY!$C23="",0,IF((SUMMARY!$C23+0.1)&gt;(DEPRECIATION!U$5-4),FINANCIAL!$H40/SUMMARY!$C23,0)))</f>
        <v>0</v>
      </c>
      <c r="V11" s="58">
        <f>IF((V$5-4)=SUMMARY!$C23,FINANCIAL!$H40-SUM(DEPRECIATION!$D11:U11),IF(SUMMARY!$C23="",0,IF((SUMMARY!$C23+0.1)&gt;(DEPRECIATION!V$5-4),FINANCIAL!$H40/SUMMARY!$C23,0)))</f>
        <v>0</v>
      </c>
      <c r="W11" s="58">
        <f>IF((W$5-4)=SUMMARY!$C23,FINANCIAL!$H40-SUM(DEPRECIATION!$D11:V11),IF(SUMMARY!$C23="",0,IF((SUMMARY!$C23+0.1)&gt;(DEPRECIATION!W$5-4),FINANCIAL!$H40/SUMMARY!$C23,0)))</f>
        <v>0</v>
      </c>
      <c r="X11" s="57"/>
      <c r="Y11" s="58">
        <f t="shared" ref="Y11" si="6">SUM(C11:W11)</f>
        <v>0</v>
      </c>
      <c r="Z11" s="66"/>
    </row>
    <row r="12" spans="2:26" x14ac:dyDescent="0.2">
      <c r="B12" s="70" t="s">
        <v>49</v>
      </c>
      <c r="C12" s="57"/>
      <c r="D12" s="57"/>
      <c r="E12" s="57"/>
      <c r="F12" s="57"/>
      <c r="G12" s="57"/>
      <c r="H12" s="58">
        <f>IF(SUMMARY!$C23="",0,IF((SUMMARY!$C23+0.1)&gt;(DEPRECIATION!H$5-5),FINANCIAL!$I40/SUMMARY!$C23,0))</f>
        <v>0</v>
      </c>
      <c r="I12" s="58">
        <f>IF((I$5-5)=SUMMARY!$C23,FINANCIAL!$I40-SUM(DEPRECIATION!$D12:H12),IF(SUMMARY!$C23="",0,IF((SUMMARY!$C23+0.1)&gt;(DEPRECIATION!I$5-5),FINANCIAL!$I40/SUMMARY!$C23,0)))</f>
        <v>0</v>
      </c>
      <c r="J12" s="58">
        <f>IF((J$5-5)=SUMMARY!$C23,FINANCIAL!$I40-SUM(DEPRECIATION!$D12:I12),IF(SUMMARY!$C23="",0,IF((SUMMARY!$C23+0.1)&gt;(DEPRECIATION!J$5-5),FINANCIAL!$I40/SUMMARY!$C23,0)))</f>
        <v>0</v>
      </c>
      <c r="K12" s="58">
        <f>IF((K$5-5)=SUMMARY!$C23,FINANCIAL!$I40-SUM(DEPRECIATION!$D12:J12),IF(SUMMARY!$C23="",0,IF((SUMMARY!$C23+0.1)&gt;(DEPRECIATION!K$5-5),FINANCIAL!$I40/SUMMARY!$C23,0)))</f>
        <v>0</v>
      </c>
      <c r="L12" s="58">
        <f>IF((L$5-5)=SUMMARY!$C23,FINANCIAL!$I40-SUM(DEPRECIATION!$D12:K12),IF(SUMMARY!$C23="",0,IF((SUMMARY!$C23+0.1)&gt;(DEPRECIATION!L$5-5),FINANCIAL!$I40/SUMMARY!$C23,0)))</f>
        <v>0</v>
      </c>
      <c r="M12" s="58">
        <f>IF((M$5-5)=SUMMARY!$C23,FINANCIAL!$I40-SUM(DEPRECIATION!$D12:L12),IF(SUMMARY!$C23="",0,IF((SUMMARY!$C23+0.1)&gt;(DEPRECIATION!M$5-5),FINANCIAL!$I40/SUMMARY!$C23,0)))</f>
        <v>0</v>
      </c>
      <c r="N12" s="58">
        <f>IF((N$5-5)=SUMMARY!$C23,FINANCIAL!$I40-SUM(DEPRECIATION!$D12:M12),IF(SUMMARY!$C23="",0,IF((SUMMARY!$C23+0.1)&gt;(DEPRECIATION!N$5-5),FINANCIAL!$I40/SUMMARY!$C23,0)))</f>
        <v>0</v>
      </c>
      <c r="O12" s="58">
        <f>IF((O$5-5)=SUMMARY!$C23,FINANCIAL!$I40-SUM(DEPRECIATION!$D12:N12),IF(SUMMARY!$C23="",0,IF((SUMMARY!$C23+0.1)&gt;(DEPRECIATION!O$5-5),FINANCIAL!$I40/SUMMARY!$C23,0)))</f>
        <v>0</v>
      </c>
      <c r="P12" s="58">
        <f>IF((P$5-5)=SUMMARY!$C23,FINANCIAL!$I40-SUM(DEPRECIATION!$D12:O12),IF(SUMMARY!$C23="",0,IF((SUMMARY!$C23+0.1)&gt;(DEPRECIATION!P$5-5),FINANCIAL!$I40/SUMMARY!$C23,0)))</f>
        <v>0</v>
      </c>
      <c r="Q12" s="58">
        <f>IF((Q$5-5)=SUMMARY!$C23,FINANCIAL!$I40-SUM(DEPRECIATION!$D12:P12),IF(SUMMARY!$C23="",0,IF((SUMMARY!$C23+0.1)&gt;(DEPRECIATION!Q$5-5),FINANCIAL!$I40/SUMMARY!$C23,0)))</f>
        <v>0</v>
      </c>
      <c r="R12" s="58">
        <f>IF((R$5-5)=SUMMARY!$C23,FINANCIAL!$I40-SUM(DEPRECIATION!$D12:Q12),IF(SUMMARY!$C23="",0,IF((SUMMARY!$C23+0.1)&gt;(DEPRECIATION!R$5-5),FINANCIAL!$I40/SUMMARY!$C23,0)))</f>
        <v>0</v>
      </c>
      <c r="S12" s="58">
        <f>IF((S$5-5)=SUMMARY!$C23,FINANCIAL!$I40-SUM(DEPRECIATION!$D12:R12),IF(SUMMARY!$C23="",0,IF((SUMMARY!$C23+0.1)&gt;(DEPRECIATION!S$5-5),FINANCIAL!$I40/SUMMARY!$C23,0)))</f>
        <v>0</v>
      </c>
      <c r="T12" s="58">
        <f>IF((T$5-5)=SUMMARY!$C23,FINANCIAL!$I40-SUM(DEPRECIATION!$D12:S12),IF(SUMMARY!$C23="",0,IF((SUMMARY!$C23+0.1)&gt;(DEPRECIATION!T$5-5),FINANCIAL!$I40/SUMMARY!$C23,0)))</f>
        <v>0</v>
      </c>
      <c r="U12" s="58">
        <f>IF((U$5-5)=SUMMARY!$C23,FINANCIAL!$I40-SUM(DEPRECIATION!$D12:T12),IF(SUMMARY!$C23="",0,IF((SUMMARY!$C23+0.1)&gt;(DEPRECIATION!U$5-5),FINANCIAL!$I40/SUMMARY!$C23,0)))</f>
        <v>0</v>
      </c>
      <c r="V12" s="58">
        <f>IF((V$5-5)=SUMMARY!$C23,FINANCIAL!$I40-SUM(DEPRECIATION!$D12:U12),IF(SUMMARY!$C23="",0,IF((SUMMARY!$C23+0.1)&gt;(DEPRECIATION!V$5-5),FINANCIAL!$I40/SUMMARY!$C23,0)))</f>
        <v>0</v>
      </c>
      <c r="W12" s="58">
        <f>IF((W$5-5)=SUMMARY!$C23,FINANCIAL!$I40-SUM(DEPRECIATION!$D12:V12),IF(SUMMARY!$C23="",0,IF((SUMMARY!$C23+0.1)&gt;(DEPRECIATION!W$5-5),FINANCIAL!$I40/SUMMARY!$C23,0)))</f>
        <v>0</v>
      </c>
      <c r="X12" s="57"/>
      <c r="Y12" s="58">
        <f t="shared" ref="Y12" si="7">SUM(C12:W12)</f>
        <v>0</v>
      </c>
      <c r="Z12" s="66"/>
    </row>
    <row r="13" spans="2:26" x14ac:dyDescent="0.2">
      <c r="B13" s="70" t="s">
        <v>50</v>
      </c>
      <c r="C13" s="57"/>
      <c r="D13" s="57"/>
      <c r="E13" s="57"/>
      <c r="F13" s="57"/>
      <c r="G13" s="57"/>
      <c r="H13" s="57"/>
      <c r="I13" s="58">
        <f>IF(SUMMARY!$C23="",0,IF((SUMMARY!$C23+0.1)&gt;(DEPRECIATION!I$5-6),FINANCIAL!$J40/SUMMARY!$C23,0))</f>
        <v>0</v>
      </c>
      <c r="J13" s="58">
        <f>IF((J$5-6)=SUMMARY!$C23,FINANCIAL!$J40-SUM(DEPRECIATION!$D13:I13),IF(SUMMARY!$C23="",0,IF((SUMMARY!$C23+0.1)&gt;(DEPRECIATION!J$5-6),FINANCIAL!$J40/SUMMARY!$C23,0)))</f>
        <v>0</v>
      </c>
      <c r="K13" s="58">
        <f>IF((K$5-6)=SUMMARY!$C23,FINANCIAL!$J40-SUM(DEPRECIATION!$D13:J13),IF(SUMMARY!$C23="",0,IF((SUMMARY!$C23+0.1)&gt;(DEPRECIATION!K$5-6),FINANCIAL!$J40/SUMMARY!$C23,0)))</f>
        <v>0</v>
      </c>
      <c r="L13" s="58">
        <f>IF((L$5-6)=SUMMARY!$C23,FINANCIAL!$J40-SUM(DEPRECIATION!$D13:K13),IF(SUMMARY!$C23="",0,IF((SUMMARY!$C23+0.1)&gt;(DEPRECIATION!L$5-6),FINANCIAL!$J40/SUMMARY!$C23,0)))</f>
        <v>0</v>
      </c>
      <c r="M13" s="58">
        <f>IF((M$5-6)=SUMMARY!$C23,FINANCIAL!$J40-SUM(DEPRECIATION!$D13:L13),IF(SUMMARY!$C23="",0,IF((SUMMARY!$C23+0.1)&gt;(DEPRECIATION!M$5-6),FINANCIAL!$J40/SUMMARY!$C23,0)))</f>
        <v>0</v>
      </c>
      <c r="N13" s="58">
        <f>IF((N$5-6)=SUMMARY!$C23,FINANCIAL!$J40-SUM(DEPRECIATION!$D13:M13),IF(SUMMARY!$C23="",0,IF((SUMMARY!$C23+0.1)&gt;(DEPRECIATION!N$5-6),FINANCIAL!$J40/SUMMARY!$C23,0)))</f>
        <v>0</v>
      </c>
      <c r="O13" s="58">
        <f>IF((O$5-6)=SUMMARY!$C23,FINANCIAL!$J40-SUM(DEPRECIATION!$D13:N13),IF(SUMMARY!$C23="",0,IF((SUMMARY!$C23+0.1)&gt;(DEPRECIATION!O$5-6),FINANCIAL!$J40/SUMMARY!$C23,0)))</f>
        <v>0</v>
      </c>
      <c r="P13" s="58">
        <f>IF((P$5-6)=SUMMARY!$C23,FINANCIAL!$J40-SUM(DEPRECIATION!$D13:O13),IF(SUMMARY!$C23="",0,IF((SUMMARY!$C23+0.1)&gt;(DEPRECIATION!P$5-6),FINANCIAL!$J40/SUMMARY!$C23,0)))</f>
        <v>0</v>
      </c>
      <c r="Q13" s="58">
        <f>IF((Q$5-6)=SUMMARY!$C23,FINANCIAL!$J40-SUM(DEPRECIATION!$D13:P13),IF(SUMMARY!$C23="",0,IF((SUMMARY!$C23+0.1)&gt;(DEPRECIATION!Q$5-6),FINANCIAL!$J40/SUMMARY!$C23,0)))</f>
        <v>0</v>
      </c>
      <c r="R13" s="58">
        <f>IF((R$5-6)=SUMMARY!$C23,FINANCIAL!$J40-SUM(DEPRECIATION!$D13:Q13),IF(SUMMARY!$C23="",0,IF((SUMMARY!$C23+0.1)&gt;(DEPRECIATION!R$5-6),FINANCIAL!$J40/SUMMARY!$C23,0)))</f>
        <v>0</v>
      </c>
      <c r="S13" s="58">
        <f>IF((S$5-6)=SUMMARY!$C23,FINANCIAL!$J40-SUM(DEPRECIATION!$D13:R13),IF(SUMMARY!$C23="",0,IF((SUMMARY!$C23+0.1)&gt;(DEPRECIATION!S$5-6),FINANCIAL!$J40/SUMMARY!$C23,0)))</f>
        <v>0</v>
      </c>
      <c r="T13" s="58">
        <f>IF((T$5-6)=SUMMARY!$C23,FINANCIAL!$J40-SUM(DEPRECIATION!$D13:S13),IF(SUMMARY!$C23="",0,IF((SUMMARY!$C23+0.1)&gt;(DEPRECIATION!T$5-6),FINANCIAL!$J40/SUMMARY!$C23,0)))</f>
        <v>0</v>
      </c>
      <c r="U13" s="58">
        <f>IF((U$5-6)=SUMMARY!$C23,FINANCIAL!$J40-SUM(DEPRECIATION!$D13:T13),IF(SUMMARY!$C23="",0,IF((SUMMARY!$C23+0.1)&gt;(DEPRECIATION!U$5-6),FINANCIAL!$J40/SUMMARY!$C23,0)))</f>
        <v>0</v>
      </c>
      <c r="V13" s="58">
        <f>IF((V$5-6)=SUMMARY!$C23,FINANCIAL!$J40-SUM(DEPRECIATION!$D13:U13),IF(SUMMARY!$C23="",0,IF((SUMMARY!$C23+0.1)&gt;(DEPRECIATION!V$5-6),FINANCIAL!$J40/SUMMARY!$C23,0)))</f>
        <v>0</v>
      </c>
      <c r="W13" s="58">
        <f>IF((W$5-6)=SUMMARY!$C23,FINANCIAL!$J40-SUM(DEPRECIATION!$D13:V13),IF(SUMMARY!$C23="",0,IF((SUMMARY!$C23+0.1)&gt;(DEPRECIATION!W$5-6),FINANCIAL!$J40/SUMMARY!$C23,0)))</f>
        <v>0</v>
      </c>
      <c r="X13" s="57"/>
      <c r="Y13" s="58">
        <f t="shared" ref="Y13" si="8">SUM(C13:W13)</f>
        <v>0</v>
      </c>
      <c r="Z13" s="66"/>
    </row>
    <row r="14" spans="2:26" x14ac:dyDescent="0.2">
      <c r="B14" s="70" t="s">
        <v>51</v>
      </c>
      <c r="C14" s="57"/>
      <c r="D14" s="57"/>
      <c r="E14" s="57"/>
      <c r="F14" s="57"/>
      <c r="G14" s="57"/>
      <c r="H14" s="57"/>
      <c r="I14" s="57"/>
      <c r="J14" s="58">
        <f>IF(SUMMARY!$C23="",0,IF((SUMMARY!$C23+0.1)&gt;(DEPRECIATION!J$5-7),FINANCIAL!$K40/SUMMARY!$C23,0))</f>
        <v>0</v>
      </c>
      <c r="K14" s="58">
        <f>IF((K$5-7)=SUMMARY!$C23,FINANCIAL!$K40-SUM(DEPRECIATION!$D14:J14),IF(SUMMARY!$C23="",0,IF((SUMMARY!$C23+0.1)&gt;(DEPRECIATION!K$5-7),FINANCIAL!$K40/SUMMARY!$C23,0)))</f>
        <v>0</v>
      </c>
      <c r="L14" s="58">
        <f>IF((L$5-7)=SUMMARY!$C23,FINANCIAL!$K40-SUM(DEPRECIATION!$D14:K14),IF(SUMMARY!$C23="",0,IF((SUMMARY!$C23+0.1)&gt;(DEPRECIATION!L$5-7),FINANCIAL!$K40/SUMMARY!$C23,0)))</f>
        <v>0</v>
      </c>
      <c r="M14" s="58">
        <f>IF((M$5-7)=SUMMARY!$C23,FINANCIAL!$K40-SUM(DEPRECIATION!$D14:L14),IF(SUMMARY!$C23="",0,IF((SUMMARY!$C23+0.1)&gt;(DEPRECIATION!M$5-7),FINANCIAL!$K40/SUMMARY!$C23,0)))</f>
        <v>0</v>
      </c>
      <c r="N14" s="58">
        <f>IF((N$5-7)=SUMMARY!$C23,FINANCIAL!$K40-SUM(DEPRECIATION!$D14:M14),IF(SUMMARY!$C23="",0,IF((SUMMARY!$C23+0.1)&gt;(DEPRECIATION!N$5-7),FINANCIAL!$K40/SUMMARY!$C23,0)))</f>
        <v>0</v>
      </c>
      <c r="O14" s="58">
        <f>IF((O$5-7)=SUMMARY!$C23,FINANCIAL!$K40-SUM(DEPRECIATION!$D14:N14),IF(SUMMARY!$C23="",0,IF((SUMMARY!$C23+0.1)&gt;(DEPRECIATION!O$5-7),FINANCIAL!$K40/SUMMARY!$C23,0)))</f>
        <v>0</v>
      </c>
      <c r="P14" s="58">
        <f>IF((P$5-7)=SUMMARY!$C23,FINANCIAL!$K40-SUM(DEPRECIATION!$D14:O14),IF(SUMMARY!$C23="",0,IF((SUMMARY!$C23+0.1)&gt;(DEPRECIATION!P$5-7),FINANCIAL!$K40/SUMMARY!$C23,0)))</f>
        <v>0</v>
      </c>
      <c r="Q14" s="58">
        <f>IF((Q$5-7)=SUMMARY!$C23,FINANCIAL!$K40-SUM(DEPRECIATION!$D14:P14),IF(SUMMARY!$C23="",0,IF((SUMMARY!$C23+0.1)&gt;(DEPRECIATION!Q$5-7),FINANCIAL!$K40/SUMMARY!$C23,0)))</f>
        <v>0</v>
      </c>
      <c r="R14" s="58">
        <f>IF((R$5-7)=SUMMARY!$C23,FINANCIAL!$K40-SUM(DEPRECIATION!$D14:Q14),IF(SUMMARY!$C23="",0,IF((SUMMARY!$C23+0.1)&gt;(DEPRECIATION!R$5-7),FINANCIAL!$K40/SUMMARY!$C23,0)))</f>
        <v>0</v>
      </c>
      <c r="S14" s="58">
        <f>IF((S$5-7)=SUMMARY!$C23,FINANCIAL!$K40-SUM(DEPRECIATION!$D14:R14),IF(SUMMARY!$C23="",0,IF((SUMMARY!$C23+0.1)&gt;(DEPRECIATION!S$5-7),FINANCIAL!$K40/SUMMARY!$C23,0)))</f>
        <v>0</v>
      </c>
      <c r="T14" s="58">
        <f>IF((T$5-7)=SUMMARY!$C23,FINANCIAL!$K40-SUM(DEPRECIATION!$D14:S14),IF(SUMMARY!$C23="",0,IF((SUMMARY!$C23+0.1)&gt;(DEPRECIATION!T$5-7),FINANCIAL!$K40/SUMMARY!$C23,0)))</f>
        <v>0</v>
      </c>
      <c r="U14" s="58">
        <f>IF((U$5-7)=SUMMARY!$C23,FINANCIAL!$K40-SUM(DEPRECIATION!$D14:T14),IF(SUMMARY!$C23="",0,IF((SUMMARY!$C23+0.1)&gt;(DEPRECIATION!U$5-7),FINANCIAL!$K40/SUMMARY!$C23,0)))</f>
        <v>0</v>
      </c>
      <c r="V14" s="58">
        <f>IF((V$5-7)=SUMMARY!$C23,FINANCIAL!$K40-SUM(DEPRECIATION!$D14:U14),IF(SUMMARY!$C23="",0,IF((SUMMARY!$C23+0.1)&gt;(DEPRECIATION!V$5-7),FINANCIAL!$K40/SUMMARY!$C23,0)))</f>
        <v>0</v>
      </c>
      <c r="W14" s="58">
        <f>IF((W$5-7)=SUMMARY!$C23,FINANCIAL!$K40-SUM(DEPRECIATION!$D14:V14),IF(SUMMARY!$C23="",0,IF((SUMMARY!$C23+0.1)&gt;(DEPRECIATION!W$5-7),FINANCIAL!$K40/SUMMARY!$C23,0)))</f>
        <v>0</v>
      </c>
      <c r="X14" s="57"/>
      <c r="Y14" s="58">
        <f t="shared" ref="Y14" si="9">SUM(C14:W14)</f>
        <v>0</v>
      </c>
      <c r="Z14" s="66"/>
    </row>
    <row r="15" spans="2:26" x14ac:dyDescent="0.2">
      <c r="B15" s="70" t="s">
        <v>52</v>
      </c>
      <c r="C15" s="57"/>
      <c r="D15" s="57"/>
      <c r="E15" s="57"/>
      <c r="F15" s="57"/>
      <c r="G15" s="57"/>
      <c r="H15" s="57"/>
      <c r="I15" s="57"/>
      <c r="J15" s="57"/>
      <c r="K15" s="58">
        <f>IF(SUMMARY!$C23="",0,IF((SUMMARY!$C23+0.1)&gt;(DEPRECIATION!K$5-8),FINANCIAL!$L40/SUMMARY!$C23,0))</f>
        <v>0</v>
      </c>
      <c r="L15" s="58">
        <f>IF((L$5-8)=SUMMARY!$C23,FINANCIAL!$L40-SUM(DEPRECIATION!$D15:K15),IF(SUMMARY!$C23="",0,IF((SUMMARY!$C23+0.1)&gt;(DEPRECIATION!L$5-8),FINANCIAL!$L40/SUMMARY!$C23,0)))</f>
        <v>0</v>
      </c>
      <c r="M15" s="58">
        <f>IF((M$5-8)=SUMMARY!$C23,FINANCIAL!$L40-SUM(DEPRECIATION!$D15:L15),IF(SUMMARY!$C23="",0,IF((SUMMARY!$C23+0.1)&gt;(DEPRECIATION!M$5-8),FINANCIAL!$L40/SUMMARY!$C23,0)))</f>
        <v>0</v>
      </c>
      <c r="N15" s="58">
        <f>IF((N$5-8)=SUMMARY!$C23,FINANCIAL!$L40-SUM(DEPRECIATION!$D15:M15),IF(SUMMARY!$C23="",0,IF((SUMMARY!$C23+0.1)&gt;(DEPRECIATION!N$5-8),FINANCIAL!$L40/SUMMARY!$C23,0)))</f>
        <v>0</v>
      </c>
      <c r="O15" s="58">
        <f>IF((O$5-8)=SUMMARY!$C23,FINANCIAL!$L40-SUM(DEPRECIATION!$D15:N15),IF(SUMMARY!$C23="",0,IF((SUMMARY!$C23+0.1)&gt;(DEPRECIATION!O$5-8),FINANCIAL!$L40/SUMMARY!$C23,0)))</f>
        <v>0</v>
      </c>
      <c r="P15" s="58">
        <f>IF((P$5-8)=SUMMARY!$C23,FINANCIAL!$L40-SUM(DEPRECIATION!$D15:O15),IF(SUMMARY!$C23="",0,IF((SUMMARY!$C23+0.1)&gt;(DEPRECIATION!P$5-8),FINANCIAL!$L40/SUMMARY!$C23,0)))</f>
        <v>0</v>
      </c>
      <c r="Q15" s="58">
        <f>IF((Q$5-8)=SUMMARY!$C23,FINANCIAL!$L40-SUM(DEPRECIATION!$D15:P15),IF(SUMMARY!$C23="",0,IF((SUMMARY!$C23+0.1)&gt;(DEPRECIATION!Q$5-8),FINANCIAL!$L40/SUMMARY!$C23,0)))</f>
        <v>0</v>
      </c>
      <c r="R15" s="58">
        <f>IF((R$5-8)=SUMMARY!$C23,FINANCIAL!$L40-SUM(DEPRECIATION!$D15:Q15),IF(SUMMARY!$C23="",0,IF((SUMMARY!$C23+0.1)&gt;(DEPRECIATION!R$5-8),FINANCIAL!$L40/SUMMARY!$C23,0)))</f>
        <v>0</v>
      </c>
      <c r="S15" s="58">
        <f>IF((S$5-8)=SUMMARY!$C23,FINANCIAL!$L40-SUM(DEPRECIATION!$D15:R15),IF(SUMMARY!$C23="",0,IF((SUMMARY!$C23+0.1)&gt;(DEPRECIATION!S$5-8),FINANCIAL!$L40/SUMMARY!$C23,0)))</f>
        <v>0</v>
      </c>
      <c r="T15" s="58">
        <f>IF((T$5-8)=SUMMARY!$C23,FINANCIAL!$L40-SUM(DEPRECIATION!$D15:S15),IF(SUMMARY!$C23="",0,IF((SUMMARY!$C23+0.1)&gt;(DEPRECIATION!T$5-8),FINANCIAL!$L40/SUMMARY!$C23,0)))</f>
        <v>0</v>
      </c>
      <c r="U15" s="58">
        <f>IF((U$5-8)=SUMMARY!$C23,FINANCIAL!$L40-SUM(DEPRECIATION!$D15:T15),IF(SUMMARY!$C23="",0,IF((SUMMARY!$C23+0.1)&gt;(DEPRECIATION!U$5-8),FINANCIAL!$L40/SUMMARY!$C23,0)))</f>
        <v>0</v>
      </c>
      <c r="V15" s="58">
        <f>IF((V$5-8)=SUMMARY!$C23,FINANCIAL!$L40-SUM(DEPRECIATION!$D15:U15),IF(SUMMARY!$C23="",0,IF((SUMMARY!$C23+0.1)&gt;(DEPRECIATION!V$5-8),FINANCIAL!$L40/SUMMARY!$C23,0)))</f>
        <v>0</v>
      </c>
      <c r="W15" s="58">
        <f>IF((W$5-8)=SUMMARY!$C23,FINANCIAL!$L40-SUM(DEPRECIATION!$D15:V15),IF(SUMMARY!$C23="",0,IF((SUMMARY!$C23+0.1)&gt;(DEPRECIATION!W$5-8),FINANCIAL!$L40/SUMMARY!$C23,0)))</f>
        <v>0</v>
      </c>
      <c r="X15" s="57"/>
      <c r="Y15" s="58">
        <f t="shared" ref="Y15" si="10">SUM(C15:W15)</f>
        <v>0</v>
      </c>
      <c r="Z15" s="66"/>
    </row>
    <row r="16" spans="2:26" x14ac:dyDescent="0.2">
      <c r="B16" s="70" t="s">
        <v>53</v>
      </c>
      <c r="C16" s="57"/>
      <c r="D16" s="57"/>
      <c r="E16" s="57"/>
      <c r="F16" s="57"/>
      <c r="G16" s="57"/>
      <c r="H16" s="57"/>
      <c r="I16" s="57"/>
      <c r="J16" s="57"/>
      <c r="K16" s="57"/>
      <c r="L16" s="58">
        <f>IF(SUMMARY!$C23="",0,IF((SUMMARY!$C23+0.1)&gt;(DEPRECIATION!L$5-9),FINANCIAL!$M40/SUMMARY!$C23,0))</f>
        <v>0</v>
      </c>
      <c r="M16" s="58">
        <f>IF((M$5-9)=SUMMARY!$C23,FINANCIAL!$M40-SUM(DEPRECIATION!$D16:L16),IF(SUMMARY!$C23="",0,IF((SUMMARY!$C23+0.1)&gt;(DEPRECIATION!M$5-9),FINANCIAL!$M40/SUMMARY!$C23,0)))</f>
        <v>0</v>
      </c>
      <c r="N16" s="58">
        <f>IF((N$5-9)=SUMMARY!$C23,FINANCIAL!$M40-SUM(DEPRECIATION!$D16:M16),IF(SUMMARY!$C23="",0,IF((SUMMARY!$C23+0.1)&gt;(DEPRECIATION!N$5-9),FINANCIAL!$M40/SUMMARY!$C23,0)))</f>
        <v>0</v>
      </c>
      <c r="O16" s="58">
        <f>IF((O$5-9)=SUMMARY!$C23,FINANCIAL!$M40-SUM(DEPRECIATION!$D16:N16),IF(SUMMARY!$C23="",0,IF((SUMMARY!$C23+0.1)&gt;(DEPRECIATION!O$5-9),FINANCIAL!$M40/SUMMARY!$C23,0)))</f>
        <v>0</v>
      </c>
      <c r="P16" s="58">
        <f>IF((P$5-9)=SUMMARY!$C23,FINANCIAL!$M40-SUM(DEPRECIATION!$D16:O16),IF(SUMMARY!$C23="",0,IF((SUMMARY!$C23+0.1)&gt;(DEPRECIATION!P$5-9),FINANCIAL!$M40/SUMMARY!$C23,0)))</f>
        <v>0</v>
      </c>
      <c r="Q16" s="58">
        <f>IF((Q$5-9)=SUMMARY!$C23,FINANCIAL!$M40-SUM(DEPRECIATION!$D16:P16),IF(SUMMARY!$C23="",0,IF((SUMMARY!$C23+0.1)&gt;(DEPRECIATION!Q$5-9),FINANCIAL!$M40/SUMMARY!$C23,0)))</f>
        <v>0</v>
      </c>
      <c r="R16" s="58">
        <f>IF((R$5-9)=SUMMARY!$C23,FINANCIAL!$M40-SUM(DEPRECIATION!$D16:Q16),IF(SUMMARY!$C23="",0,IF((SUMMARY!$C23+0.1)&gt;(DEPRECIATION!R$5-9),FINANCIAL!$M40/SUMMARY!$C23,0)))</f>
        <v>0</v>
      </c>
      <c r="S16" s="58">
        <f>IF((S$5-9)=SUMMARY!$C23,FINANCIAL!$M40-SUM(DEPRECIATION!$D16:R16),IF(SUMMARY!$C23="",0,IF((SUMMARY!$C23+0.1)&gt;(DEPRECIATION!S$5-9),FINANCIAL!$M40/SUMMARY!$C23,0)))</f>
        <v>0</v>
      </c>
      <c r="T16" s="58">
        <f>IF((T$5-9)=SUMMARY!$C23,FINANCIAL!$M40-SUM(DEPRECIATION!$D16:S16),IF(SUMMARY!$C23="",0,IF((SUMMARY!$C23+0.1)&gt;(DEPRECIATION!T$5-9),FINANCIAL!$M40/SUMMARY!$C23,0)))</f>
        <v>0</v>
      </c>
      <c r="U16" s="58">
        <f>IF((U$5-9)=SUMMARY!$C23,FINANCIAL!$M40-SUM(DEPRECIATION!$D16:T16),IF(SUMMARY!$C23="",0,IF((SUMMARY!$C23+0.1)&gt;(DEPRECIATION!U$5-9),FINANCIAL!$M40/SUMMARY!$C23,0)))</f>
        <v>0</v>
      </c>
      <c r="V16" s="58">
        <f>IF((V$5-9)=SUMMARY!$C23,FINANCIAL!$M40-SUM(DEPRECIATION!$D16:U16),IF(SUMMARY!$C23="",0,IF((SUMMARY!$C23+0.1)&gt;(DEPRECIATION!V$5-9),FINANCIAL!$M40/SUMMARY!$C23,0)))</f>
        <v>0</v>
      </c>
      <c r="W16" s="58">
        <f>IF((W$5-9)=SUMMARY!$C23,FINANCIAL!$M40-SUM(DEPRECIATION!$D16:V16),IF(SUMMARY!$C23="",0,IF((SUMMARY!$C23+0.1)&gt;(DEPRECIATION!W$5-9),FINANCIAL!$M40/SUMMARY!$C23,0)))</f>
        <v>0</v>
      </c>
      <c r="X16" s="57"/>
      <c r="Y16" s="58">
        <f t="shared" ref="Y16" si="11">SUM(C16:W16)</f>
        <v>0</v>
      </c>
      <c r="Z16" s="66"/>
    </row>
    <row r="17" spans="2:26" x14ac:dyDescent="0.2">
      <c r="B17" s="70" t="s">
        <v>54</v>
      </c>
      <c r="C17" s="67">
        <f t="shared" ref="C17:W17" si="12">SUM(C7:C16)</f>
        <v>3.0433789954337898</v>
      </c>
      <c r="D17" s="67">
        <f t="shared" si="12"/>
        <v>35.833333333333336</v>
      </c>
      <c r="E17" s="67">
        <f t="shared" si="12"/>
        <v>35.833333333333336</v>
      </c>
      <c r="F17" s="67">
        <f t="shared" si="12"/>
        <v>35.833333333333336</v>
      </c>
      <c r="G17" s="67">
        <f t="shared" si="12"/>
        <v>35.833333333333336</v>
      </c>
      <c r="H17" s="67">
        <f t="shared" si="12"/>
        <v>35.833333333333336</v>
      </c>
      <c r="I17" s="67">
        <f t="shared" si="12"/>
        <v>35.833333333333336</v>
      </c>
      <c r="J17" s="67">
        <f t="shared" si="12"/>
        <v>35.833333333333336</v>
      </c>
      <c r="K17" s="67">
        <f t="shared" si="12"/>
        <v>35.833333333333336</v>
      </c>
      <c r="L17" s="67">
        <f t="shared" si="12"/>
        <v>35.833333333333336</v>
      </c>
      <c r="M17" s="67">
        <f t="shared" si="12"/>
        <v>35.833333333333336</v>
      </c>
      <c r="N17" s="67">
        <f t="shared" si="12"/>
        <v>35.833333333333336</v>
      </c>
      <c r="O17" s="67">
        <f t="shared" si="12"/>
        <v>32.78995433789953</v>
      </c>
      <c r="P17" s="67">
        <f t="shared" si="12"/>
        <v>0</v>
      </c>
      <c r="Q17" s="67">
        <f t="shared" si="12"/>
        <v>0</v>
      </c>
      <c r="R17" s="67">
        <f t="shared" si="12"/>
        <v>0</v>
      </c>
      <c r="S17" s="67">
        <f t="shared" si="12"/>
        <v>0</v>
      </c>
      <c r="T17" s="67">
        <f t="shared" si="12"/>
        <v>0</v>
      </c>
      <c r="U17" s="67">
        <f t="shared" si="12"/>
        <v>0</v>
      </c>
      <c r="V17" s="67">
        <f t="shared" si="12"/>
        <v>0</v>
      </c>
      <c r="W17" s="67">
        <f t="shared" si="12"/>
        <v>0</v>
      </c>
      <c r="X17" s="58"/>
      <c r="Y17" s="58">
        <f t="shared" ref="Y17" si="13">SUM(C17:W17)</f>
        <v>430</v>
      </c>
      <c r="Z17" s="18"/>
    </row>
  </sheetData>
  <sheetProtection password="CF05" sheet="1" objects="1" scenarios="1"/>
  <mergeCells count="1">
    <mergeCell ref="B2:Z2"/>
  </mergeCells>
  <phoneticPr fontId="27" type="noConversion"/>
  <pageMargins left="0.2" right="0.24" top="0.45" bottom="0.32" header="0.21" footer="0.19"/>
  <pageSetup scale="74" orientation="landscape" r:id="rId1"/>
  <headerFooter alignWithMargins="0">
    <oddFooter>&amp;R&amp;"Arial,Italic"&amp;8Strategic Finance (KR) - xt.6926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31</vt:i4>
      </vt:variant>
    </vt:vector>
  </HeadingPairs>
  <TitlesOfParts>
    <vt:vector size="34" baseType="lpstr">
      <vt:lpstr>SUMMARY</vt:lpstr>
      <vt:lpstr>FINANCIAL</vt:lpstr>
      <vt:lpstr>DEPRECIATION</vt:lpstr>
      <vt:lpstr>FinancialResults_IRR</vt:lpstr>
      <vt:lpstr>FinancialResults_NPV</vt:lpstr>
      <vt:lpstr>FinancialResults_ROI_Discounted</vt:lpstr>
      <vt:lpstr>FinancialResults_ROI_NonDiscounted</vt:lpstr>
      <vt:lpstr>Input_Calc_Costs_Conv</vt:lpstr>
      <vt:lpstr>Input_Calc_Costs_PRD</vt:lpstr>
      <vt:lpstr>Input_Calc_LostTimeInjuries</vt:lpstr>
      <vt:lpstr>Input_Calc_Savings_Capital</vt:lpstr>
      <vt:lpstr>Input_Calc_Savings_Injury</vt:lpstr>
      <vt:lpstr>Input_Calc_Savings_Labor</vt:lpstr>
      <vt:lpstr>Input_Calc_Savings_Project</vt:lpstr>
      <vt:lpstr>Input_Calc_StubYear</vt:lpstr>
      <vt:lpstr>Input_CalcYearZero</vt:lpstr>
      <vt:lpstr>Input_Conv_Cost</vt:lpstr>
      <vt:lpstr>Input_Costs_Injury_AtRiskFactor</vt:lpstr>
      <vt:lpstr>Input_Costs_Injury_Direct</vt:lpstr>
      <vt:lpstr>Input_Costs_Injury_Indirect</vt:lpstr>
      <vt:lpstr>Input_FY_EndDate</vt:lpstr>
      <vt:lpstr>Input_PalletsNeedAdjPCT</vt:lpstr>
      <vt:lpstr>Input_PalletsPerStack</vt:lpstr>
      <vt:lpstr>Input_PalletsPerYear</vt:lpstr>
      <vt:lpstr>Input_PayRate_BenefitLoad</vt:lpstr>
      <vt:lpstr>Input_PayRate_Operator</vt:lpstr>
      <vt:lpstr>Input_PayRate_Selector</vt:lpstr>
      <vt:lpstr>Input_PRD_Cost</vt:lpstr>
      <vt:lpstr>Input_PRD_Qty</vt:lpstr>
      <vt:lpstr>Input_ProjectStart</vt:lpstr>
      <vt:lpstr>Input_TaxRate</vt:lpstr>
      <vt:lpstr>Input_Units</vt:lpstr>
      <vt:lpstr>Input_UsefulLife</vt:lpstr>
      <vt:lpstr>Input_WACC</vt:lpstr>
    </vt:vector>
  </TitlesOfParts>
  <Company>WSP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Brent &amp; Natalie Johnson</cp:lastModifiedBy>
  <cp:lastPrinted>2012-04-19T19:20:48Z</cp:lastPrinted>
  <dcterms:created xsi:type="dcterms:W3CDTF">2008-01-14T19:05:07Z</dcterms:created>
  <dcterms:modified xsi:type="dcterms:W3CDTF">2016-07-16T16:27:27Z</dcterms:modified>
</cp:coreProperties>
</file>